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0" windowWidth="19230" windowHeight="10575" firstSheet="2" activeTab="9"/>
  </bookViews>
  <sheets>
    <sheet name="День 1" sheetId="15" r:id="rId1"/>
    <sheet name="День 2  " sheetId="28" r:id="rId2"/>
    <sheet name=" День 3 " sheetId="14" r:id="rId3"/>
    <sheet name=" День 4 " sheetId="13" r:id="rId4"/>
    <sheet name="День 5 " sheetId="26" r:id="rId5"/>
    <sheet name="2 н День 1" sheetId="19" r:id="rId6"/>
    <sheet name="2 н День 2" sheetId="16" r:id="rId7"/>
    <sheet name="2 н День 3" sheetId="25" r:id="rId8"/>
    <sheet name="2 н День 4" sheetId="18" r:id="rId9"/>
    <sheet name="2 н День 5 (10,31)" sheetId="29" r:id="rId10"/>
  </sheets>
  <calcPr calcId="144525"/>
</workbook>
</file>

<file path=xl/calcChain.xml><?xml version="1.0" encoding="utf-8"?>
<calcChain xmlns="http://schemas.openxmlformats.org/spreadsheetml/2006/main">
  <c r="AA193" i="29" l="1"/>
  <c r="AB193" i="29" s="1"/>
  <c r="AA191" i="29"/>
  <c r="AB191" i="29" s="1"/>
  <c r="B191" i="29"/>
  <c r="A191" i="29"/>
  <c r="X189" i="29"/>
  <c r="V189" i="29"/>
  <c r="R189" i="29"/>
  <c r="M189" i="29"/>
  <c r="L189" i="29"/>
  <c r="G189" i="29"/>
  <c r="F189" i="29"/>
  <c r="B189" i="29"/>
  <c r="A189" i="29"/>
  <c r="X187" i="29"/>
  <c r="D187" i="29"/>
  <c r="E187" i="29" s="1"/>
  <c r="AA187" i="29" s="1"/>
  <c r="AB187" i="29" s="1"/>
  <c r="B187" i="29"/>
  <c r="A187" i="29"/>
  <c r="S185" i="29"/>
  <c r="L185" i="29"/>
  <c r="B185" i="29"/>
  <c r="A185" i="29"/>
  <c r="M183" i="29"/>
  <c r="L183" i="29"/>
  <c r="B183" i="29"/>
  <c r="A183" i="29"/>
  <c r="AA181" i="29"/>
  <c r="R181" i="29"/>
  <c r="B181" i="29"/>
  <c r="A181" i="29"/>
  <c r="Y179" i="29"/>
  <c r="H179" i="29"/>
  <c r="I179" i="29" s="1"/>
  <c r="B179" i="29"/>
  <c r="A179" i="29"/>
  <c r="Y177" i="29"/>
  <c r="M177" i="29"/>
  <c r="AA177" i="29" s="1"/>
  <c r="B177" i="29"/>
  <c r="A177" i="29"/>
  <c r="AA175" i="29"/>
  <c r="B175" i="29"/>
  <c r="AB175" i="29" s="1"/>
  <c r="A175" i="29"/>
  <c r="AA173" i="29"/>
  <c r="B173" i="29"/>
  <c r="AB173" i="29" s="1"/>
  <c r="A173" i="29"/>
  <c r="AA171" i="29"/>
  <c r="AB171" i="29" s="1"/>
  <c r="D171" i="29"/>
  <c r="E171" i="29" s="1"/>
  <c r="B171" i="29"/>
  <c r="A171" i="29"/>
  <c r="J170" i="29"/>
  <c r="AA169" i="29"/>
  <c r="X169" i="29"/>
  <c r="B169" i="29"/>
  <c r="A169" i="29"/>
  <c r="M167" i="29"/>
  <c r="L167" i="29"/>
  <c r="AA167" i="29" s="1"/>
  <c r="AB167" i="29" s="1"/>
  <c r="B167" i="29"/>
  <c r="A167" i="29"/>
  <c r="M165" i="29"/>
  <c r="L165" i="29"/>
  <c r="B165" i="29"/>
  <c r="A165" i="29"/>
  <c r="P164" i="29"/>
  <c r="P165" i="29" s="1"/>
  <c r="Q165" i="29" s="1"/>
  <c r="V163" i="29"/>
  <c r="L163" i="29"/>
  <c r="B163" i="29"/>
  <c r="A163" i="29"/>
  <c r="R161" i="29"/>
  <c r="M161" i="29"/>
  <c r="AA161" i="29" s="1"/>
  <c r="B161" i="29"/>
  <c r="A161" i="29"/>
  <c r="Z156" i="29"/>
  <c r="Y156" i="29"/>
  <c r="W156" i="29"/>
  <c r="V156" i="29"/>
  <c r="U156" i="29"/>
  <c r="T156" i="29"/>
  <c r="R156" i="29"/>
  <c r="P156" i="29"/>
  <c r="O156" i="29"/>
  <c r="N156" i="29"/>
  <c r="M156" i="29"/>
  <c r="L156" i="29"/>
  <c r="K156" i="29"/>
  <c r="J156" i="29"/>
  <c r="H156" i="29"/>
  <c r="F156" i="29"/>
  <c r="E156" i="29"/>
  <c r="D156" i="29"/>
  <c r="AA151" i="29"/>
  <c r="B151" i="29"/>
  <c r="AB151" i="29" s="1"/>
  <c r="A151" i="29"/>
  <c r="K150" i="29"/>
  <c r="AA149" i="29"/>
  <c r="S149" i="29"/>
  <c r="B149" i="29"/>
  <c r="A149" i="29"/>
  <c r="Y147" i="29"/>
  <c r="X147" i="29"/>
  <c r="V147" i="29"/>
  <c r="S147" i="29"/>
  <c r="L147" i="29"/>
  <c r="H147" i="29"/>
  <c r="I147" i="29" s="1"/>
  <c r="F147" i="29"/>
  <c r="G147" i="29" s="1"/>
  <c r="B147" i="29"/>
  <c r="A147" i="29"/>
  <c r="G146" i="29"/>
  <c r="F145" i="29"/>
  <c r="G145" i="29" s="1"/>
  <c r="AA145" i="29" s="1"/>
  <c r="AB145" i="29" s="1"/>
  <c r="B145" i="29"/>
  <c r="A145" i="29"/>
  <c r="X143" i="29"/>
  <c r="AA143" i="29" s="1"/>
  <c r="AB143" i="29" s="1"/>
  <c r="B143" i="29"/>
  <c r="A143" i="29"/>
  <c r="X141" i="29"/>
  <c r="R141" i="29"/>
  <c r="P141" i="29"/>
  <c r="Q141" i="29" s="1"/>
  <c r="AA141" i="29" s="1"/>
  <c r="AB141" i="29" s="1"/>
  <c r="B141" i="29"/>
  <c r="A141" i="29"/>
  <c r="P140" i="29"/>
  <c r="B139" i="29"/>
  <c r="A139" i="29"/>
  <c r="P138" i="29"/>
  <c r="O138" i="29"/>
  <c r="AB137" i="29"/>
  <c r="M137" i="29"/>
  <c r="AA137" i="29" s="1"/>
  <c r="B137" i="29"/>
  <c r="A137" i="29"/>
  <c r="R135" i="29"/>
  <c r="I135" i="29"/>
  <c r="AA135" i="29" s="1"/>
  <c r="AB135" i="29" s="1"/>
  <c r="G135" i="29"/>
  <c r="F135" i="29"/>
  <c r="B135" i="29"/>
  <c r="A135" i="29"/>
  <c r="Y134" i="29"/>
  <c r="G134" i="29"/>
  <c r="X133" i="29"/>
  <c r="M133" i="29"/>
  <c r="AA133" i="29" s="1"/>
  <c r="AB133" i="29" s="1"/>
  <c r="L133" i="29"/>
  <c r="B133" i="29"/>
  <c r="A133" i="29"/>
  <c r="X131" i="29"/>
  <c r="V131" i="29"/>
  <c r="R131" i="29"/>
  <c r="F131" i="29"/>
  <c r="G131" i="29" s="1"/>
  <c r="D131" i="29"/>
  <c r="E131" i="29" s="1"/>
  <c r="B131" i="29"/>
  <c r="A131" i="29"/>
  <c r="P130" i="29"/>
  <c r="AA129" i="29"/>
  <c r="AB129" i="29" s="1"/>
  <c r="B129" i="29"/>
  <c r="A129" i="29"/>
  <c r="P127" i="29"/>
  <c r="Q127" i="29" s="1"/>
  <c r="AA127" i="29" s="1"/>
  <c r="AB127" i="29" s="1"/>
  <c r="B127" i="29"/>
  <c r="A127" i="29"/>
  <c r="P126" i="29"/>
  <c r="Z125" i="29"/>
  <c r="Y125" i="29"/>
  <c r="T125" i="29"/>
  <c r="O125" i="29"/>
  <c r="K125" i="29"/>
  <c r="J125" i="29"/>
  <c r="G125" i="29"/>
  <c r="G188" i="29" s="1"/>
  <c r="E125" i="29"/>
  <c r="E186" i="29" s="1"/>
  <c r="Z124" i="29"/>
  <c r="Y124" i="29"/>
  <c r="X124" i="29"/>
  <c r="W124" i="29"/>
  <c r="V124" i="29"/>
  <c r="T124" i="29"/>
  <c r="T172" i="29" s="1"/>
  <c r="S124" i="29"/>
  <c r="Q124" i="29"/>
  <c r="P124" i="29"/>
  <c r="O124" i="29"/>
  <c r="N124" i="29"/>
  <c r="M124" i="29"/>
  <c r="L124" i="29"/>
  <c r="K124" i="29"/>
  <c r="J124" i="29"/>
  <c r="I124" i="29"/>
  <c r="H124" i="29"/>
  <c r="H135" i="29" s="1"/>
  <c r="G124" i="29"/>
  <c r="E124" i="29"/>
  <c r="R124" i="29" s="1"/>
  <c r="D124" i="29"/>
  <c r="V114" i="29"/>
  <c r="S112" i="29"/>
  <c r="I112" i="29"/>
  <c r="G112" i="29"/>
  <c r="K112" i="29" s="1"/>
  <c r="AB196" i="29" s="1"/>
  <c r="R106" i="29"/>
  <c r="A103" i="29"/>
  <c r="AE94" i="29"/>
  <c r="AD94" i="29"/>
  <c r="AA94" i="29"/>
  <c r="AB94" i="29" s="1"/>
  <c r="AE92" i="29"/>
  <c r="AA92" i="29"/>
  <c r="AB92" i="29" s="1"/>
  <c r="AE90" i="29"/>
  <c r="X90" i="29"/>
  <c r="V90" i="29"/>
  <c r="R90" i="29"/>
  <c r="M90" i="29"/>
  <c r="L90" i="29"/>
  <c r="G90" i="29"/>
  <c r="F90" i="29"/>
  <c r="AE88" i="29"/>
  <c r="X88" i="29"/>
  <c r="AA88" i="29"/>
  <c r="AD88" i="29" s="1"/>
  <c r="AE86" i="29"/>
  <c r="S86" i="29"/>
  <c r="AA86" i="29"/>
  <c r="AE84" i="29"/>
  <c r="P83" i="29"/>
  <c r="AE82" i="29"/>
  <c r="AA82" i="29"/>
  <c r="AD82" i="29" s="1"/>
  <c r="AE80" i="29"/>
  <c r="I80" i="29"/>
  <c r="AA80" i="29" s="1"/>
  <c r="H80" i="29"/>
  <c r="AE78" i="29"/>
  <c r="M78" i="29"/>
  <c r="AA78" i="29" s="1"/>
  <c r="AE76" i="29"/>
  <c r="AD76" i="29"/>
  <c r="AA76" i="29"/>
  <c r="AB76" i="29" s="1"/>
  <c r="AE74" i="29"/>
  <c r="AA74" i="29"/>
  <c r="AB74" i="29" s="1"/>
  <c r="AE72" i="29"/>
  <c r="AB72" i="29"/>
  <c r="E72" i="29"/>
  <c r="AA72" i="29" s="1"/>
  <c r="D72" i="29"/>
  <c r="J71" i="29"/>
  <c r="AE70" i="29"/>
  <c r="X70" i="29"/>
  <c r="AA70" i="29" s="1"/>
  <c r="AD70" i="29" s="1"/>
  <c r="AE68" i="29"/>
  <c r="M68" i="29"/>
  <c r="L68" i="29"/>
  <c r="AA68" i="29" s="1"/>
  <c r="AE66" i="29"/>
  <c r="M66" i="29"/>
  <c r="P65" i="29"/>
  <c r="P66" i="29" s="1"/>
  <c r="Q66" i="29" s="1"/>
  <c r="AE64" i="29"/>
  <c r="V64" i="29"/>
  <c r="L64" i="29"/>
  <c r="AA64" i="29" s="1"/>
  <c r="AE62" i="29"/>
  <c r="R62" i="29"/>
  <c r="M62" i="29"/>
  <c r="AA62" i="29" s="1"/>
  <c r="Z57" i="29"/>
  <c r="Y57" i="29"/>
  <c r="W57" i="29"/>
  <c r="V57" i="29"/>
  <c r="U57" i="29"/>
  <c r="T57" i="29"/>
  <c r="R57" i="29"/>
  <c r="P57" i="29"/>
  <c r="O57" i="29"/>
  <c r="N57" i="29"/>
  <c r="M57" i="29"/>
  <c r="L57" i="29"/>
  <c r="K57" i="29"/>
  <c r="J57" i="29"/>
  <c r="H57" i="29"/>
  <c r="F57" i="29"/>
  <c r="E57" i="29"/>
  <c r="D57" i="29"/>
  <c r="E55" i="29"/>
  <c r="AE52" i="29"/>
  <c r="AA52" i="29"/>
  <c r="AB52" i="29" s="1"/>
  <c r="K51" i="29"/>
  <c r="AE50" i="29"/>
  <c r="S50" i="29"/>
  <c r="AA50" i="29" s="1"/>
  <c r="AE48" i="29"/>
  <c r="X48" i="29"/>
  <c r="V48" i="29"/>
  <c r="S48" i="29"/>
  <c r="G48" i="29"/>
  <c r="F48" i="29"/>
  <c r="AE46" i="29"/>
  <c r="G46" i="29"/>
  <c r="AA46" i="29" s="1"/>
  <c r="F46" i="29"/>
  <c r="G45" i="29"/>
  <c r="AE44" i="29"/>
  <c r="AA44" i="29"/>
  <c r="AB44" i="29" s="1"/>
  <c r="X44" i="29"/>
  <c r="AE42" i="29"/>
  <c r="X42" i="29"/>
  <c r="R42" i="29"/>
  <c r="P41" i="29"/>
  <c r="P42" i="29" s="1"/>
  <c r="Q42" i="29" s="1"/>
  <c r="AA42" i="29" s="1"/>
  <c r="AE40" i="29"/>
  <c r="P39" i="29"/>
  <c r="P40" i="29" s="1"/>
  <c r="Q40" i="29" s="1"/>
  <c r="AA40" i="29" s="1"/>
  <c r="O39" i="29"/>
  <c r="AE38" i="29"/>
  <c r="AA38" i="29"/>
  <c r="AB38" i="29" s="1"/>
  <c r="M38" i="29"/>
  <c r="AE36" i="29"/>
  <c r="R36" i="29"/>
  <c r="F36" i="29"/>
  <c r="G36" i="29" s="1"/>
  <c r="Y35" i="29"/>
  <c r="AE34" i="29"/>
  <c r="X34" i="29"/>
  <c r="M34" i="29"/>
  <c r="L34" i="29"/>
  <c r="AA34" i="29" s="1"/>
  <c r="AE32" i="29"/>
  <c r="X32" i="29"/>
  <c r="V32" i="29"/>
  <c r="R32" i="29"/>
  <c r="G32" i="29"/>
  <c r="F32" i="29"/>
  <c r="E32" i="29"/>
  <c r="D32" i="29"/>
  <c r="P31" i="29"/>
  <c r="P32" i="29" s="1"/>
  <c r="Q32" i="29" s="1"/>
  <c r="G31" i="29"/>
  <c r="AE30" i="29"/>
  <c r="AB30" i="29"/>
  <c r="AA30" i="29"/>
  <c r="AD30" i="29" s="1"/>
  <c r="AE28" i="29"/>
  <c r="P27" i="29"/>
  <c r="P28" i="29" s="1"/>
  <c r="Q28" i="29" s="1"/>
  <c r="AA28" i="29" s="1"/>
  <c r="Y26" i="29"/>
  <c r="T26" i="29"/>
  <c r="Q26" i="29"/>
  <c r="Q89" i="29" s="1"/>
  <c r="O26" i="29"/>
  <c r="K26" i="29"/>
  <c r="J26" i="29"/>
  <c r="G26" i="29"/>
  <c r="G89" i="29" s="1"/>
  <c r="E26" i="29"/>
  <c r="Y25" i="29"/>
  <c r="X25" i="29"/>
  <c r="T25" i="29"/>
  <c r="T73" i="29" s="1"/>
  <c r="S25" i="29"/>
  <c r="R25" i="29"/>
  <c r="Q25" i="29"/>
  <c r="P25" i="29"/>
  <c r="P90" i="29" s="1"/>
  <c r="Q90" i="29" s="1"/>
  <c r="O25" i="29"/>
  <c r="M25" i="29"/>
  <c r="L25" i="29"/>
  <c r="K25" i="29"/>
  <c r="J25" i="29"/>
  <c r="I25" i="29"/>
  <c r="H25" i="29"/>
  <c r="H48" i="29" s="1"/>
  <c r="I48" i="29" s="1"/>
  <c r="G25" i="29"/>
  <c r="E25" i="29"/>
  <c r="D25" i="29"/>
  <c r="K13" i="29"/>
  <c r="AB97" i="29" s="1"/>
  <c r="I13" i="29"/>
  <c r="I13" i="28"/>
  <c r="L13" i="28"/>
  <c r="AE98" i="28" s="1"/>
  <c r="D25" i="28"/>
  <c r="E25" i="28"/>
  <c r="AB33" i="28" s="1"/>
  <c r="G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B25" i="28"/>
  <c r="AC25" i="28"/>
  <c r="E26" i="28"/>
  <c r="G26" i="28"/>
  <c r="J26" i="28"/>
  <c r="K26" i="28"/>
  <c r="L26" i="28"/>
  <c r="M26" i="28"/>
  <c r="P26" i="28"/>
  <c r="Q26" i="28"/>
  <c r="T26" i="28"/>
  <c r="W26" i="28"/>
  <c r="Y26" i="28"/>
  <c r="AB26" i="28"/>
  <c r="AC26" i="28"/>
  <c r="S27" i="28"/>
  <c r="T27" i="28"/>
  <c r="S28" i="28"/>
  <c r="T28" i="28"/>
  <c r="AD28" i="28" s="1"/>
  <c r="AE28" i="28"/>
  <c r="AH28" i="28"/>
  <c r="G29" i="28"/>
  <c r="S29" i="28"/>
  <c r="T29" i="28"/>
  <c r="X29" i="28"/>
  <c r="Y29" i="28"/>
  <c r="D30" i="28"/>
  <c r="E30" i="28"/>
  <c r="F30" i="28"/>
  <c r="G30" i="28"/>
  <c r="O30" i="28"/>
  <c r="R30" i="28"/>
  <c r="S30" i="28"/>
  <c r="T30" i="28"/>
  <c r="U30" i="28"/>
  <c r="X30" i="28"/>
  <c r="Y30" i="28" s="1"/>
  <c r="Z30" i="28"/>
  <c r="AH30" i="28"/>
  <c r="S31" i="28"/>
  <c r="T31" i="28"/>
  <c r="N32" i="28"/>
  <c r="O32" i="28"/>
  <c r="S32" i="28"/>
  <c r="T32" i="28"/>
  <c r="AH32" i="28"/>
  <c r="G33" i="28"/>
  <c r="F34" i="28"/>
  <c r="G34" i="28" s="1"/>
  <c r="R34" i="28"/>
  <c r="U34" i="28"/>
  <c r="Z34" i="28"/>
  <c r="AH34" i="28"/>
  <c r="Q35" i="28"/>
  <c r="X35" i="28"/>
  <c r="Y35" i="28"/>
  <c r="X36" i="28"/>
  <c r="Y36" i="28"/>
  <c r="AH36" i="28"/>
  <c r="S37" i="28"/>
  <c r="T37" i="28" s="1"/>
  <c r="X37" i="28"/>
  <c r="Y37" i="28" s="1"/>
  <c r="S38" i="28"/>
  <c r="T38" i="28" s="1"/>
  <c r="AH38" i="28"/>
  <c r="G39" i="28"/>
  <c r="F40" i="28"/>
  <c r="G40" i="28"/>
  <c r="AD40" i="28" s="1"/>
  <c r="AE40" i="28"/>
  <c r="AH40" i="28"/>
  <c r="G41" i="28"/>
  <c r="S41" i="28"/>
  <c r="T41" i="28" s="1"/>
  <c r="F42" i="28"/>
  <c r="G42" i="28" s="1"/>
  <c r="S42" i="28"/>
  <c r="T42" i="28" s="1"/>
  <c r="AD42" i="28"/>
  <c r="AE42" i="28" s="1"/>
  <c r="AH42" i="28"/>
  <c r="X43" i="28"/>
  <c r="Y43" i="28"/>
  <c r="X44" i="28"/>
  <c r="Y44" i="28"/>
  <c r="AH44" i="28"/>
  <c r="M45" i="28"/>
  <c r="AD46" i="28"/>
  <c r="AE46" i="28" s="1"/>
  <c r="AH46" i="28"/>
  <c r="G47" i="28"/>
  <c r="X47" i="28"/>
  <c r="F48" i="28"/>
  <c r="G48" i="28" s="1"/>
  <c r="I48" i="28"/>
  <c r="J48" i="28" s="1"/>
  <c r="V48" i="28"/>
  <c r="Z48" i="28"/>
  <c r="AH48" i="28"/>
  <c r="V50" i="28"/>
  <c r="AD50" i="28" s="1"/>
  <c r="AH50" i="28"/>
  <c r="L51" i="28"/>
  <c r="AD52" i="28"/>
  <c r="AE52" i="28" s="1"/>
  <c r="AH52" i="28"/>
  <c r="E55" i="28"/>
  <c r="D57" i="28"/>
  <c r="E57" i="28"/>
  <c r="F57" i="28"/>
  <c r="I57" i="28"/>
  <c r="K57" i="28"/>
  <c r="L57" i="28"/>
  <c r="M57" i="28"/>
  <c r="N57" i="28"/>
  <c r="O57" i="28"/>
  <c r="P57" i="28"/>
  <c r="Q57" i="28"/>
  <c r="R57" i="28"/>
  <c r="S57" i="28"/>
  <c r="U57" i="28"/>
  <c r="V57" i="28"/>
  <c r="W57" i="28"/>
  <c r="X57" i="28"/>
  <c r="Z57" i="28"/>
  <c r="AB57" i="28"/>
  <c r="AC57" i="28"/>
  <c r="O62" i="28"/>
  <c r="U62" i="28"/>
  <c r="AD62" i="28" s="1"/>
  <c r="AE62" i="28"/>
  <c r="AH62" i="28"/>
  <c r="N64" i="28"/>
  <c r="AD64" i="28"/>
  <c r="AE64" i="28" s="1"/>
  <c r="AH64" i="28"/>
  <c r="S65" i="28"/>
  <c r="O66" i="28"/>
  <c r="AH66" i="28"/>
  <c r="O68" i="28"/>
  <c r="AH68" i="28"/>
  <c r="O70" i="28"/>
  <c r="AH70" i="28"/>
  <c r="K71" i="28"/>
  <c r="D72" i="28"/>
  <c r="E72" i="28"/>
  <c r="AD72" i="28" s="1"/>
  <c r="AE72" i="28"/>
  <c r="AH72" i="28"/>
  <c r="W73" i="28"/>
  <c r="AD74" i="28"/>
  <c r="AE74" i="28" s="1"/>
  <c r="AG74" i="28"/>
  <c r="AH74" i="28"/>
  <c r="AC75" i="28"/>
  <c r="AD76" i="28"/>
  <c r="AE76" i="28"/>
  <c r="AH76" i="28"/>
  <c r="I78" i="28"/>
  <c r="J78" i="28" s="1"/>
  <c r="AD78" i="28" s="1"/>
  <c r="AH78" i="28"/>
  <c r="P79" i="28"/>
  <c r="AH80" i="28"/>
  <c r="V82" i="28"/>
  <c r="AH82" i="28"/>
  <c r="O84" i="28"/>
  <c r="AD84" i="28" s="1"/>
  <c r="AH84" i="28"/>
  <c r="X85" i="28"/>
  <c r="Y85" i="28" s="1"/>
  <c r="R86" i="28"/>
  <c r="S86" i="28"/>
  <c r="T86" i="28"/>
  <c r="U86" i="28"/>
  <c r="X86" i="28"/>
  <c r="Y86" i="28" s="1"/>
  <c r="Z86" i="28"/>
  <c r="AH86" i="28"/>
  <c r="G87" i="28"/>
  <c r="F88" i="28"/>
  <c r="G88" i="28" s="1"/>
  <c r="AD88" i="28"/>
  <c r="AE88" i="28" s="1"/>
  <c r="AH88" i="28"/>
  <c r="Y89" i="28"/>
  <c r="F90" i="28"/>
  <c r="G90" i="28"/>
  <c r="G89" i="28" s="1"/>
  <c r="N90" i="28"/>
  <c r="O90" i="28"/>
  <c r="R90" i="28"/>
  <c r="S90" i="28"/>
  <c r="T90" i="28" s="1"/>
  <c r="U90" i="28"/>
  <c r="X90" i="28"/>
  <c r="Y90" i="28"/>
  <c r="AH90" i="28"/>
  <c r="J91" i="28"/>
  <c r="I92" i="28"/>
  <c r="J92" i="28"/>
  <c r="AD92" i="28" s="1"/>
  <c r="AH92" i="28"/>
  <c r="X93" i="28"/>
  <c r="Y93" i="28"/>
  <c r="X94" i="28"/>
  <c r="Y94" i="28"/>
  <c r="AD94" i="28" s="1"/>
  <c r="AH94" i="28"/>
  <c r="AD96" i="28"/>
  <c r="AE96" i="28"/>
  <c r="AH96" i="28"/>
  <c r="A104" i="28"/>
  <c r="T107" i="28"/>
  <c r="G113" i="28"/>
  <c r="I113" i="28"/>
  <c r="L113" i="28"/>
  <c r="AE198" i="28" s="1"/>
  <c r="U113" i="28"/>
  <c r="X115" i="28"/>
  <c r="D125" i="28"/>
  <c r="E125" i="28"/>
  <c r="AB133" i="28" s="1"/>
  <c r="G125" i="28"/>
  <c r="I125" i="28"/>
  <c r="J125" i="28"/>
  <c r="K125" i="28"/>
  <c r="L125" i="28"/>
  <c r="M125" i="28"/>
  <c r="N125" i="28"/>
  <c r="O125" i="28"/>
  <c r="P125" i="28"/>
  <c r="Q125" i="28"/>
  <c r="R125" i="28"/>
  <c r="S125" i="28"/>
  <c r="S190" i="28" s="1"/>
  <c r="T190" i="28" s="1"/>
  <c r="T125" i="28"/>
  <c r="U125" i="28"/>
  <c r="V125" i="28"/>
  <c r="W125" i="28"/>
  <c r="X125" i="28"/>
  <c r="Y125" i="28"/>
  <c r="Z125" i="28"/>
  <c r="AB125" i="28"/>
  <c r="AC125" i="28"/>
  <c r="E126" i="28"/>
  <c r="E129" i="28" s="1"/>
  <c r="G126" i="28"/>
  <c r="J126" i="28"/>
  <c r="J147" i="28" s="1"/>
  <c r="K126" i="28"/>
  <c r="L126" i="28"/>
  <c r="M126" i="28"/>
  <c r="P126" i="28"/>
  <c r="Q126" i="28"/>
  <c r="T126" i="28"/>
  <c r="W126" i="28"/>
  <c r="Y126" i="28"/>
  <c r="AB126" i="28"/>
  <c r="AC126" i="28"/>
  <c r="S127" i="28"/>
  <c r="T127" i="28"/>
  <c r="A128" i="28"/>
  <c r="B128" i="28"/>
  <c r="S128" i="28"/>
  <c r="T128" i="28"/>
  <c r="AD128" i="28" s="1"/>
  <c r="AE128" i="28" s="1"/>
  <c r="G129" i="28"/>
  <c r="S129" i="28"/>
  <c r="T129" i="28"/>
  <c r="X129" i="28"/>
  <c r="Y129" i="28"/>
  <c r="A130" i="28"/>
  <c r="B130" i="28"/>
  <c r="D130" i="28"/>
  <c r="E130" i="28"/>
  <c r="F130" i="28"/>
  <c r="G130" i="28"/>
  <c r="O130" i="28"/>
  <c r="R130" i="28"/>
  <c r="S130" i="28"/>
  <c r="T130" i="28"/>
  <c r="U130" i="28"/>
  <c r="X130" i="28"/>
  <c r="Y130" i="28" s="1"/>
  <c r="Z130" i="28"/>
  <c r="S131" i="28"/>
  <c r="T131" i="28"/>
  <c r="A132" i="28"/>
  <c r="B132" i="28"/>
  <c r="N132" i="28"/>
  <c r="O132" i="28"/>
  <c r="AD132" i="28" s="1"/>
  <c r="AE132" i="28" s="1"/>
  <c r="S132" i="28"/>
  <c r="T132" i="28"/>
  <c r="G133" i="28"/>
  <c r="Y133" i="28"/>
  <c r="A134" i="28"/>
  <c r="B134" i="28"/>
  <c r="F134" i="28"/>
  <c r="G134" i="28" s="1"/>
  <c r="AD134" i="28" s="1"/>
  <c r="AE134" i="28" s="1"/>
  <c r="R134" i="28"/>
  <c r="U134" i="28"/>
  <c r="X134" i="28"/>
  <c r="Y134" i="28" s="1"/>
  <c r="Z134" i="28"/>
  <c r="Q135" i="28"/>
  <c r="X135" i="28"/>
  <c r="Y135" i="28"/>
  <c r="A136" i="28"/>
  <c r="B136" i="28"/>
  <c r="D136" i="28"/>
  <c r="E136" i="28"/>
  <c r="AD136" i="28" s="1"/>
  <c r="AE136" i="28" s="1"/>
  <c r="X136" i="28"/>
  <c r="Y136" i="28"/>
  <c r="G137" i="28"/>
  <c r="S137" i="28"/>
  <c r="T137" i="28" s="1"/>
  <c r="X137" i="28"/>
  <c r="Y137" i="28" s="1"/>
  <c r="A138" i="28"/>
  <c r="B138" i="28"/>
  <c r="F138" i="28"/>
  <c r="G138" i="28" s="1"/>
  <c r="S138" i="28"/>
  <c r="T138" i="28" s="1"/>
  <c r="X138" i="28"/>
  <c r="Y138" i="28" s="1"/>
  <c r="G139" i="28"/>
  <c r="A140" i="28"/>
  <c r="B140" i="28"/>
  <c r="F140" i="28"/>
  <c r="G140" i="28"/>
  <c r="AD140" i="28" s="1"/>
  <c r="AE140" i="28" s="1"/>
  <c r="G141" i="28"/>
  <c r="S141" i="28"/>
  <c r="T141" i="28" s="1"/>
  <c r="A142" i="28"/>
  <c r="B142" i="28"/>
  <c r="F142" i="28"/>
  <c r="G142" i="28" s="1"/>
  <c r="S142" i="28"/>
  <c r="T142" i="28" s="1"/>
  <c r="T143" i="28"/>
  <c r="X143" i="28"/>
  <c r="Y143" i="28"/>
  <c r="A144" i="28"/>
  <c r="B144" i="28"/>
  <c r="S144" i="28"/>
  <c r="T144" i="28"/>
  <c r="AD144" i="28" s="1"/>
  <c r="AE144" i="28" s="1"/>
  <c r="X144" i="28"/>
  <c r="Y144" i="28"/>
  <c r="M145" i="28"/>
  <c r="A146" i="28"/>
  <c r="B146" i="28"/>
  <c r="AD146" i="28"/>
  <c r="AE146" i="28" s="1"/>
  <c r="G147" i="28"/>
  <c r="X147" i="28"/>
  <c r="Y147" i="28" s="1"/>
  <c r="A148" i="28"/>
  <c r="B148" i="28"/>
  <c r="F148" i="28"/>
  <c r="G148" i="28" s="1"/>
  <c r="I148" i="28"/>
  <c r="J148" i="28" s="1"/>
  <c r="V148" i="28"/>
  <c r="Z148" i="28"/>
  <c r="A150" i="28"/>
  <c r="B150" i="28"/>
  <c r="V150" i="28"/>
  <c r="AD150" i="28" s="1"/>
  <c r="AE150" i="28" s="1"/>
  <c r="L151" i="28"/>
  <c r="A152" i="28"/>
  <c r="AD152" i="28"/>
  <c r="AE152" i="28"/>
  <c r="E155" i="28"/>
  <c r="D157" i="28"/>
  <c r="E157" i="28"/>
  <c r="F157" i="28"/>
  <c r="I157" i="28"/>
  <c r="K157" i="28"/>
  <c r="L157" i="28"/>
  <c r="M157" i="28"/>
  <c r="N157" i="28"/>
  <c r="O157" i="28"/>
  <c r="P157" i="28"/>
  <c r="Q157" i="28"/>
  <c r="R157" i="28"/>
  <c r="S157" i="28"/>
  <c r="U157" i="28"/>
  <c r="V157" i="28"/>
  <c r="W157" i="28"/>
  <c r="X157" i="28"/>
  <c r="Z157" i="28"/>
  <c r="AB157" i="28"/>
  <c r="AC157" i="28"/>
  <c r="A162" i="28"/>
  <c r="B162" i="28"/>
  <c r="O162" i="28"/>
  <c r="U162" i="28"/>
  <c r="AD162" i="28"/>
  <c r="A164" i="28"/>
  <c r="B164" i="28"/>
  <c r="N164" i="28"/>
  <c r="AD164" i="28" s="1"/>
  <c r="S165" i="28"/>
  <c r="T165" i="28"/>
  <c r="A166" i="28"/>
  <c r="B166" i="28"/>
  <c r="O166" i="28"/>
  <c r="S166" i="28"/>
  <c r="T166" i="28" s="1"/>
  <c r="AD166" i="28" s="1"/>
  <c r="AE166" i="28" s="1"/>
  <c r="T167" i="28"/>
  <c r="A168" i="28"/>
  <c r="B168" i="28"/>
  <c r="O168" i="28"/>
  <c r="S168" i="28"/>
  <c r="T168" i="28" s="1"/>
  <c r="AD168" i="28" s="1"/>
  <c r="AE168" i="28" s="1"/>
  <c r="J169" i="28"/>
  <c r="A170" i="28"/>
  <c r="B170" i="28"/>
  <c r="I170" i="28"/>
  <c r="J170" i="28"/>
  <c r="O170" i="28"/>
  <c r="AD170" i="28"/>
  <c r="E171" i="28"/>
  <c r="K171" i="28"/>
  <c r="A172" i="28"/>
  <c r="B172" i="28"/>
  <c r="D172" i="28"/>
  <c r="E172" i="28" s="1"/>
  <c r="AD172" i="28" s="1"/>
  <c r="AE172" i="28" s="1"/>
  <c r="W173" i="28"/>
  <c r="A174" i="28"/>
  <c r="B174" i="28"/>
  <c r="AD174" i="28"/>
  <c r="AE174" i="28"/>
  <c r="AC175" i="28"/>
  <c r="A176" i="28"/>
  <c r="B176" i="28"/>
  <c r="AD176" i="28"/>
  <c r="AG76" i="28" s="1"/>
  <c r="J177" i="28"/>
  <c r="A178" i="28"/>
  <c r="B178" i="28"/>
  <c r="I178" i="28"/>
  <c r="J178" i="28"/>
  <c r="AD178" i="28" s="1"/>
  <c r="AE178" i="28" s="1"/>
  <c r="P179" i="28"/>
  <c r="A180" i="28"/>
  <c r="B180" i="28"/>
  <c r="AB180" i="28"/>
  <c r="AD180" i="28" s="1"/>
  <c r="AE180" i="28" s="1"/>
  <c r="A182" i="28"/>
  <c r="B182" i="28"/>
  <c r="V182" i="28"/>
  <c r="AB182" i="28"/>
  <c r="AD182" i="28" s="1"/>
  <c r="AE182" i="28" s="1"/>
  <c r="A184" i="28"/>
  <c r="B184" i="28"/>
  <c r="O184" i="28"/>
  <c r="AD184" i="28"/>
  <c r="AE184" i="28" s="1"/>
  <c r="T185" i="28"/>
  <c r="X185" i="28"/>
  <c r="Y185" i="28"/>
  <c r="A186" i="28"/>
  <c r="B186" i="28"/>
  <c r="R186" i="28"/>
  <c r="S186" i="28"/>
  <c r="T186" i="28" s="1"/>
  <c r="AD186" i="28" s="1"/>
  <c r="AE186" i="28" s="1"/>
  <c r="U186" i="28"/>
  <c r="X186" i="28"/>
  <c r="Y186" i="28"/>
  <c r="Z186" i="28"/>
  <c r="G187" i="28"/>
  <c r="A188" i="28"/>
  <c r="B188" i="28"/>
  <c r="F188" i="28"/>
  <c r="G188" i="28"/>
  <c r="AD188" i="28" s="1"/>
  <c r="AE188" i="28" s="1"/>
  <c r="T189" i="28"/>
  <c r="A190" i="28"/>
  <c r="B190" i="28"/>
  <c r="F190" i="28"/>
  <c r="G190" i="28" s="1"/>
  <c r="N190" i="28"/>
  <c r="O190" i="28"/>
  <c r="R190" i="28"/>
  <c r="U190" i="28"/>
  <c r="X190" i="28"/>
  <c r="Y190" i="28" s="1"/>
  <c r="Y189" i="28" s="1"/>
  <c r="Z190" i="28"/>
  <c r="A192" i="28"/>
  <c r="B192" i="28"/>
  <c r="I192" i="28"/>
  <c r="J192" i="28" s="1"/>
  <c r="AD192" i="28" s="1"/>
  <c r="AE192" i="28" s="1"/>
  <c r="X193" i="28"/>
  <c r="Y193" i="28" s="1"/>
  <c r="A194" i="28"/>
  <c r="B194" i="28"/>
  <c r="X194" i="28"/>
  <c r="Y194" i="28" s="1"/>
  <c r="AD194" i="28" s="1"/>
  <c r="AE194" i="28" s="1"/>
  <c r="A196" i="28"/>
  <c r="B196" i="28"/>
  <c r="AD196" i="28"/>
  <c r="AG96" i="28" s="1"/>
  <c r="AB177" i="29" l="1"/>
  <c r="AB161" i="29"/>
  <c r="AE170" i="28"/>
  <c r="AE162" i="28"/>
  <c r="AD28" i="29"/>
  <c r="AB28" i="29"/>
  <c r="AA32" i="29"/>
  <c r="AD46" i="29"/>
  <c r="AB46" i="29"/>
  <c r="AD50" i="29"/>
  <c r="AB50" i="29"/>
  <c r="AD62" i="29"/>
  <c r="AB62" i="29"/>
  <c r="AB68" i="29"/>
  <c r="AD68" i="29"/>
  <c r="AD34" i="29"/>
  <c r="AB34" i="29"/>
  <c r="AB40" i="29"/>
  <c r="AD42" i="29"/>
  <c r="AB42" i="29"/>
  <c r="AA48" i="29"/>
  <c r="AB64" i="29"/>
  <c r="AA66" i="29"/>
  <c r="AB78" i="29"/>
  <c r="AD78" i="29"/>
  <c r="AB80" i="29"/>
  <c r="AA90" i="29"/>
  <c r="E71" i="29"/>
  <c r="I26" i="29"/>
  <c r="Q27" i="29"/>
  <c r="Q31" i="29"/>
  <c r="AA36" i="29"/>
  <c r="AD38" i="29"/>
  <c r="Q39" i="29"/>
  <c r="Q41" i="29"/>
  <c r="AD44" i="29"/>
  <c r="AD52" i="29"/>
  <c r="Q65" i="29"/>
  <c r="Q83" i="29"/>
  <c r="AB86" i="29"/>
  <c r="AB88" i="29"/>
  <c r="Q138" i="29"/>
  <c r="AB149" i="29"/>
  <c r="AA165" i="29"/>
  <c r="AB165" i="29" s="1"/>
  <c r="AB169" i="29"/>
  <c r="E31" i="29"/>
  <c r="G35" i="29"/>
  <c r="G47" i="29"/>
  <c r="AB70" i="29"/>
  <c r="AD72" i="29"/>
  <c r="AD74" i="29"/>
  <c r="AB82" i="29"/>
  <c r="P84" i="29"/>
  <c r="Q84" i="29" s="1"/>
  <c r="AA84" i="29"/>
  <c r="AD92" i="29"/>
  <c r="P189" i="29"/>
  <c r="Q189" i="29" s="1"/>
  <c r="AA189" i="29" s="1"/>
  <c r="AB189" i="29" s="1"/>
  <c r="P183" i="29"/>
  <c r="Q183" i="29" s="1"/>
  <c r="I125" i="29"/>
  <c r="Q125" i="29"/>
  <c r="Q126" i="29"/>
  <c r="E130" i="29"/>
  <c r="AA131" i="29"/>
  <c r="AB131" i="29" s="1"/>
  <c r="P131" i="29"/>
  <c r="Q131" i="29" s="1"/>
  <c r="P139" i="29"/>
  <c r="Q139" i="29" s="1"/>
  <c r="AA139" i="29" s="1"/>
  <c r="AB139" i="29" s="1"/>
  <c r="Q140" i="29"/>
  <c r="AA147" i="29"/>
  <c r="AB147" i="29" s="1"/>
  <c r="AA163" i="29"/>
  <c r="AB163" i="29" s="1"/>
  <c r="E170" i="29"/>
  <c r="AA179" i="29"/>
  <c r="AB179" i="29" s="1"/>
  <c r="AB181" i="29"/>
  <c r="AA183" i="29"/>
  <c r="AB183" i="29" s="1"/>
  <c r="AA185" i="29"/>
  <c r="AB185" i="29" s="1"/>
  <c r="G130" i="29"/>
  <c r="G144" i="29"/>
  <c r="G189" i="28"/>
  <c r="AD190" i="28"/>
  <c r="AE190" i="28" s="1"/>
  <c r="AD130" i="28"/>
  <c r="AE130" i="28" s="1"/>
  <c r="AG64" i="28"/>
  <c r="AE164" i="28"/>
  <c r="AD142" i="28"/>
  <c r="AE142" i="28" s="1"/>
  <c r="AD138" i="28"/>
  <c r="AE138" i="28" s="1"/>
  <c r="AE78" i="28"/>
  <c r="AG78" i="28"/>
  <c r="AG94" i="28"/>
  <c r="AG92" i="28"/>
  <c r="AD86" i="28"/>
  <c r="AG84" i="28"/>
  <c r="T65" i="28"/>
  <c r="S66" i="28"/>
  <c r="T66" i="28" s="1"/>
  <c r="AG50" i="28"/>
  <c r="AG46" i="28"/>
  <c r="AD34" i="28"/>
  <c r="AD30" i="28"/>
  <c r="AE196" i="28"/>
  <c r="J191" i="28"/>
  <c r="AE176" i="28"/>
  <c r="X148" i="28"/>
  <c r="Y148" i="28" s="1"/>
  <c r="AD148" i="28" s="1"/>
  <c r="AE148" i="28" s="1"/>
  <c r="E135" i="28"/>
  <c r="AE94" i="28"/>
  <c r="AE92" i="28"/>
  <c r="AD90" i="28"/>
  <c r="AG88" i="28"/>
  <c r="AE84" i="28"/>
  <c r="AG72" i="28"/>
  <c r="AD70" i="28"/>
  <c r="AD68" i="28"/>
  <c r="AD66" i="28"/>
  <c r="AG62" i="28"/>
  <c r="AG52" i="28"/>
  <c r="AE50" i="28"/>
  <c r="Y47" i="28"/>
  <c r="X48" i="28"/>
  <c r="Y48" i="28" s="1"/>
  <c r="AD48" i="28" s="1"/>
  <c r="AD44" i="28"/>
  <c r="AG42" i="28"/>
  <c r="AG40" i="28"/>
  <c r="X38" i="28"/>
  <c r="Y38" i="28" s="1"/>
  <c r="AD38" i="28" s="1"/>
  <c r="AD36" i="28"/>
  <c r="AD32" i="28"/>
  <c r="AG28" i="28"/>
  <c r="T85" i="28"/>
  <c r="T89" i="28"/>
  <c r="J47" i="28"/>
  <c r="J77" i="28"/>
  <c r="E29" i="28"/>
  <c r="E71" i="28"/>
  <c r="AD80" i="28"/>
  <c r="AD82" i="28"/>
  <c r="AC185" i="16"/>
  <c r="AC177" i="16"/>
  <c r="AC175" i="16"/>
  <c r="AC169" i="16"/>
  <c r="AC167" i="16"/>
  <c r="AA193" i="19"/>
  <c r="AA191" i="19"/>
  <c r="AA185" i="19"/>
  <c r="AA175" i="19"/>
  <c r="AA173" i="19"/>
  <c r="AA151" i="19"/>
  <c r="Z185" i="26"/>
  <c r="Z177" i="26"/>
  <c r="Z175" i="26"/>
  <c r="Z173" i="26"/>
  <c r="Z169" i="26"/>
  <c r="Z167" i="26"/>
  <c r="Z165" i="26"/>
  <c r="Z145" i="26"/>
  <c r="Z139" i="26"/>
  <c r="Z133" i="26"/>
  <c r="Z131" i="26"/>
  <c r="Z123" i="26"/>
  <c r="AA193" i="13"/>
  <c r="AA191" i="13"/>
  <c r="AA187" i="13"/>
  <c r="AA185" i="13"/>
  <c r="AA183" i="13"/>
  <c r="AA177" i="13"/>
  <c r="AA175" i="13"/>
  <c r="AA173" i="13"/>
  <c r="AA145" i="13"/>
  <c r="U189" i="14"/>
  <c r="Y187" i="14"/>
  <c r="Y185" i="14"/>
  <c r="Y183" i="14"/>
  <c r="Y181" i="14"/>
  <c r="Y179" i="14"/>
  <c r="Y177" i="14"/>
  <c r="Y171" i="14"/>
  <c r="Y169" i="14"/>
  <c r="Y167" i="14"/>
  <c r="Y165" i="14"/>
  <c r="Y147" i="14"/>
  <c r="Y141" i="14"/>
  <c r="Y139" i="14"/>
  <c r="Y135" i="14"/>
  <c r="Y125" i="14"/>
  <c r="Y193" i="15"/>
  <c r="Y191" i="15"/>
  <c r="Y189" i="15"/>
  <c r="Y187" i="15"/>
  <c r="Y185" i="15"/>
  <c r="Y183" i="15"/>
  <c r="Y181" i="15"/>
  <c r="Y179" i="15"/>
  <c r="Y177" i="15"/>
  <c r="Y175" i="15"/>
  <c r="Y173" i="15"/>
  <c r="Y171" i="15"/>
  <c r="Y169" i="15"/>
  <c r="Y167" i="15"/>
  <c r="Y165" i="15"/>
  <c r="Y163" i="15"/>
  <c r="Y161" i="15"/>
  <c r="Y159" i="15"/>
  <c r="Y149" i="15"/>
  <c r="Y147" i="15"/>
  <c r="Y145" i="15"/>
  <c r="Y143" i="15"/>
  <c r="Y141" i="15"/>
  <c r="Y139" i="15"/>
  <c r="Y137" i="15"/>
  <c r="Y135" i="15"/>
  <c r="Y133" i="15"/>
  <c r="Y131" i="15"/>
  <c r="Y129" i="15"/>
  <c r="Y127" i="15"/>
  <c r="Z191" i="18"/>
  <c r="Z189" i="18"/>
  <c r="Z187" i="18"/>
  <c r="Z185" i="18"/>
  <c r="Z183" i="18"/>
  <c r="Z181" i="18"/>
  <c r="Z179" i="18"/>
  <c r="Z177" i="18"/>
  <c r="Z175" i="18"/>
  <c r="Z173" i="18"/>
  <c r="Z171" i="18"/>
  <c r="Z169" i="18"/>
  <c r="Z167" i="18"/>
  <c r="Z165" i="18"/>
  <c r="Z163" i="18"/>
  <c r="Z161" i="18"/>
  <c r="Z159" i="18"/>
  <c r="Z157" i="18"/>
  <c r="Z147" i="18"/>
  <c r="Z145" i="18"/>
  <c r="Z143" i="18"/>
  <c r="Z141" i="18"/>
  <c r="Z139" i="18"/>
  <c r="Z137" i="18"/>
  <c r="Z135" i="18"/>
  <c r="Z133" i="18"/>
  <c r="Z131" i="18"/>
  <c r="Z129" i="18"/>
  <c r="Z127" i="18"/>
  <c r="Z125" i="18"/>
  <c r="Z185" i="25"/>
  <c r="Z181" i="25"/>
  <c r="Z179" i="25"/>
  <c r="Z177" i="25"/>
  <c r="Z175" i="25"/>
  <c r="Z173" i="25"/>
  <c r="Z171" i="25"/>
  <c r="Z169" i="25"/>
  <c r="Z167" i="25"/>
  <c r="Z165" i="25"/>
  <c r="Z163" i="25"/>
  <c r="Z145" i="25"/>
  <c r="Z139" i="25"/>
  <c r="Z137" i="25"/>
  <c r="Z133" i="25"/>
  <c r="Z131" i="25"/>
  <c r="Z129" i="25"/>
  <c r="Z123" i="25"/>
  <c r="AB194" i="29" l="1"/>
  <c r="N112" i="29" s="1"/>
  <c r="N114" i="29" s="1"/>
  <c r="AD36" i="29"/>
  <c r="AB36" i="29"/>
  <c r="I178" i="29"/>
  <c r="I146" i="29"/>
  <c r="I134" i="29"/>
  <c r="AD84" i="29"/>
  <c r="AB84" i="29"/>
  <c r="AD86" i="29"/>
  <c r="AB90" i="29"/>
  <c r="AD90" i="29"/>
  <c r="AB48" i="29"/>
  <c r="AD48" i="29"/>
  <c r="AD40" i="29"/>
  <c r="Q188" i="29"/>
  <c r="Q164" i="29"/>
  <c r="Q182" i="29"/>
  <c r="Q130" i="29"/>
  <c r="I79" i="29"/>
  <c r="I47" i="29"/>
  <c r="AD80" i="29"/>
  <c r="AD66" i="29"/>
  <c r="AB66" i="29"/>
  <c r="AD64" i="29"/>
  <c r="AB32" i="29"/>
  <c r="AB95" i="29" s="1"/>
  <c r="N13" i="29" s="1"/>
  <c r="N15" i="29" s="1"/>
  <c r="AD32" i="29"/>
  <c r="AE82" i="28"/>
  <c r="AG82" i="28"/>
  <c r="AE48" i="28"/>
  <c r="AG48" i="28"/>
  <c r="AE197" i="28"/>
  <c r="O113" i="28" s="1"/>
  <c r="O115" i="28" s="1"/>
  <c r="AG32" i="28"/>
  <c r="AE32" i="28"/>
  <c r="AE38" i="28"/>
  <c r="AG38" i="28"/>
  <c r="AG68" i="28"/>
  <c r="AE68" i="28"/>
  <c r="AG34" i="28"/>
  <c r="AE34" i="28"/>
  <c r="AG86" i="28"/>
  <c r="AE86" i="28"/>
  <c r="AE80" i="28"/>
  <c r="AG80" i="28"/>
  <c r="AG36" i="28"/>
  <c r="AE36" i="28"/>
  <c r="AG44" i="28"/>
  <c r="AE44" i="28"/>
  <c r="AG66" i="28"/>
  <c r="AE66" i="28"/>
  <c r="AG70" i="28"/>
  <c r="AE70" i="28"/>
  <c r="AE90" i="28"/>
  <c r="AG90" i="28"/>
  <c r="AG30" i="28"/>
  <c r="AE30" i="28"/>
  <c r="B151" i="19"/>
  <c r="AE97" i="28" l="1"/>
  <c r="O13" i="28" s="1"/>
  <c r="O15" i="28" s="1"/>
  <c r="P131" i="14"/>
  <c r="AC88" i="18" l="1"/>
  <c r="B191" i="18"/>
  <c r="A191" i="18"/>
  <c r="B189" i="18"/>
  <c r="A189" i="18"/>
  <c r="B187" i="18"/>
  <c r="A187" i="18"/>
  <c r="B185" i="18"/>
  <c r="A185" i="18"/>
  <c r="B183" i="18"/>
  <c r="A183" i="18"/>
  <c r="B181" i="18"/>
  <c r="A181" i="18"/>
  <c r="B179" i="18"/>
  <c r="A179" i="18"/>
  <c r="B177" i="18"/>
  <c r="A177" i="18"/>
  <c r="B175" i="18"/>
  <c r="A175" i="18"/>
  <c r="B173" i="18"/>
  <c r="A173" i="18"/>
  <c r="B171" i="18"/>
  <c r="A171" i="18"/>
  <c r="B169" i="18"/>
  <c r="A169" i="18"/>
  <c r="B167" i="18"/>
  <c r="A167" i="18"/>
  <c r="B165" i="18"/>
  <c r="A165" i="18"/>
  <c r="B163" i="18"/>
  <c r="A163" i="18"/>
  <c r="B161" i="18"/>
  <c r="A161" i="18"/>
  <c r="B159" i="18"/>
  <c r="A159" i="18"/>
  <c r="B157" i="18"/>
  <c r="A157" i="18"/>
  <c r="S127" i="25"/>
  <c r="S30" i="25"/>
  <c r="W140" i="16"/>
  <c r="F145" i="16"/>
  <c r="G145" i="16" s="1"/>
  <c r="AC145" i="16" s="1"/>
  <c r="N124" i="19"/>
  <c r="B175" i="26"/>
  <c r="B151" i="13"/>
  <c r="M122" i="14"/>
  <c r="Y92" i="14"/>
  <c r="Y90" i="15" l="1"/>
  <c r="AB86" i="15"/>
  <c r="Z38" i="26" l="1"/>
  <c r="M30" i="15"/>
  <c r="A139" i="25" l="1"/>
  <c r="U128" i="25"/>
  <c r="V33" i="25"/>
  <c r="U33" i="25"/>
  <c r="U34" i="25"/>
  <c r="V34" i="25"/>
  <c r="L125" i="13"/>
  <c r="L184" i="13"/>
  <c r="L26" i="13"/>
  <c r="L85" i="13"/>
  <c r="P122" i="16"/>
  <c r="P126" i="16"/>
  <c r="P128" i="16"/>
  <c r="P132" i="16"/>
  <c r="P164" i="16"/>
  <c r="P160" i="16"/>
  <c r="P158" i="16"/>
  <c r="P63" i="16"/>
  <c r="M46" i="16"/>
  <c r="W45" i="16"/>
  <c r="N66" i="13"/>
  <c r="A185" i="15"/>
  <c r="D185" i="15"/>
  <c r="E185" i="15" s="1"/>
  <c r="D86" i="15"/>
  <c r="E86" i="15" s="1"/>
  <c r="AC86" i="15"/>
  <c r="U129" i="25" l="1"/>
  <c r="V129" i="25" s="1"/>
  <c r="Z185" i="15"/>
  <c r="Y86" i="15"/>
  <c r="P124" i="18"/>
  <c r="P125" i="18"/>
  <c r="Q125" i="18"/>
  <c r="U126" i="18"/>
  <c r="D127" i="18"/>
  <c r="E127" i="18" s="1"/>
  <c r="F127" i="18"/>
  <c r="G127" i="18" s="1"/>
  <c r="N127" i="18"/>
  <c r="O127" i="18"/>
  <c r="P127" i="18"/>
  <c r="Q127" i="18" s="1"/>
  <c r="U127" i="18"/>
  <c r="V127" i="18" s="1"/>
  <c r="W127" i="18"/>
  <c r="M129" i="18"/>
  <c r="N129" i="18"/>
  <c r="O129" i="18"/>
  <c r="F131" i="18"/>
  <c r="G131" i="18" s="1"/>
  <c r="H131" i="18"/>
  <c r="I131" i="18" s="1"/>
  <c r="W131" i="18"/>
  <c r="F133" i="18"/>
  <c r="G133" i="18"/>
  <c r="U134" i="18"/>
  <c r="N135" i="18"/>
  <c r="U135" i="18"/>
  <c r="V135" i="18" s="1"/>
  <c r="U136" i="18"/>
  <c r="U137" i="18"/>
  <c r="V137" i="18" s="1"/>
  <c r="O139" i="18"/>
  <c r="U140" i="18"/>
  <c r="N141" i="18"/>
  <c r="W141" i="18"/>
  <c r="U142" i="18"/>
  <c r="F143" i="18"/>
  <c r="G143" i="18" s="1"/>
  <c r="H143" i="18"/>
  <c r="I143" i="18" s="1"/>
  <c r="R143" i="18"/>
  <c r="W143" i="18"/>
  <c r="X143" i="18"/>
  <c r="U144" i="18"/>
  <c r="U145" i="18"/>
  <c r="V145" i="18" s="1"/>
  <c r="R147" i="18"/>
  <c r="Z86" i="15" l="1"/>
  <c r="U143" i="18"/>
  <c r="V143" i="18" s="1"/>
  <c r="U141" i="18"/>
  <c r="V141" i="18" s="1"/>
  <c r="U190" i="18"/>
  <c r="U176" i="18"/>
  <c r="U177" i="18" s="1"/>
  <c r="V177" i="18" s="1"/>
  <c r="L123" i="18"/>
  <c r="U191" i="18"/>
  <c r="V191" i="18" s="1"/>
  <c r="X189" i="18"/>
  <c r="AA189" i="18" s="1"/>
  <c r="V187" i="18"/>
  <c r="O187" i="18"/>
  <c r="N187" i="18"/>
  <c r="M187" i="18"/>
  <c r="F187" i="18"/>
  <c r="G187" i="18" s="1"/>
  <c r="AA185" i="18"/>
  <c r="L184" i="18"/>
  <c r="X183" i="18"/>
  <c r="R183" i="18"/>
  <c r="H179" i="18"/>
  <c r="I179" i="18" s="1"/>
  <c r="E175" i="18"/>
  <c r="D175" i="18"/>
  <c r="AA173" i="18"/>
  <c r="AA171" i="18"/>
  <c r="AA169" i="18"/>
  <c r="E167" i="18"/>
  <c r="D167" i="18"/>
  <c r="K166" i="18"/>
  <c r="M165" i="18"/>
  <c r="O163" i="18"/>
  <c r="M163" i="18"/>
  <c r="O161" i="18"/>
  <c r="N161" i="18"/>
  <c r="M161" i="18"/>
  <c r="M159" i="18"/>
  <c r="M157" i="18"/>
  <c r="Y152" i="18"/>
  <c r="X152" i="18"/>
  <c r="W152" i="18"/>
  <c r="V152" i="18"/>
  <c r="U152" i="18"/>
  <c r="T152" i="18"/>
  <c r="S152" i="18"/>
  <c r="R152" i="18"/>
  <c r="P152" i="18"/>
  <c r="O152" i="18"/>
  <c r="N152" i="18"/>
  <c r="M152" i="18"/>
  <c r="L152" i="18"/>
  <c r="K152" i="18"/>
  <c r="J152" i="18"/>
  <c r="H152" i="18"/>
  <c r="F152" i="18"/>
  <c r="E152" i="18"/>
  <c r="D152" i="18"/>
  <c r="U150" i="18"/>
  <c r="E150" i="18"/>
  <c r="G110" i="18"/>
  <c r="O122" i="18"/>
  <c r="Q123" i="18"/>
  <c r="U47" i="18"/>
  <c r="U48" i="18" s="1"/>
  <c r="X86" i="18"/>
  <c r="X92" i="18"/>
  <c r="W30" i="18"/>
  <c r="W46" i="18"/>
  <c r="W34" i="18"/>
  <c r="U79" i="18"/>
  <c r="AD80" i="18"/>
  <c r="A101" i="18"/>
  <c r="U93" i="18"/>
  <c r="U94" i="18" s="1"/>
  <c r="V94" i="18" s="1"/>
  <c r="AD94" i="18"/>
  <c r="U45" i="18"/>
  <c r="U37" i="18"/>
  <c r="U43" i="18"/>
  <c r="U39" i="18"/>
  <c r="U29" i="18"/>
  <c r="L26" i="18"/>
  <c r="L87" i="18"/>
  <c r="O64" i="18"/>
  <c r="O66" i="18"/>
  <c r="O84" i="18"/>
  <c r="O32" i="18"/>
  <c r="P27" i="18"/>
  <c r="O25" i="18"/>
  <c r="AC34" i="16"/>
  <c r="Z34" i="25"/>
  <c r="M76" i="18"/>
  <c r="M66" i="18"/>
  <c r="M64" i="18"/>
  <c r="M62" i="18"/>
  <c r="M60" i="18"/>
  <c r="Q124" i="18" l="1"/>
  <c r="Q126" i="18"/>
  <c r="U80" i="18"/>
  <c r="V80" i="18" s="1"/>
  <c r="AA157" i="18"/>
  <c r="AA183" i="18"/>
  <c r="AA191" i="18"/>
  <c r="AA165" i="18"/>
  <c r="AA159" i="18"/>
  <c r="AA163" i="18"/>
  <c r="AA167" i="18"/>
  <c r="AA175" i="18"/>
  <c r="AA177" i="18"/>
  <c r="AA179" i="18"/>
  <c r="V48" i="18"/>
  <c r="Z80" i="18"/>
  <c r="Z94" i="18"/>
  <c r="AC94" i="18" s="1"/>
  <c r="U46" i="18"/>
  <c r="V46" i="18" s="1"/>
  <c r="AA80" i="18" l="1"/>
  <c r="AC80" i="18"/>
  <c r="AA94" i="18"/>
  <c r="U132" i="25" l="1"/>
  <c r="U124" i="25"/>
  <c r="P164" i="25"/>
  <c r="P158" i="25"/>
  <c r="P134" i="25"/>
  <c r="P128" i="25"/>
  <c r="P129" i="25" s="1"/>
  <c r="Q129" i="25" s="1"/>
  <c r="P126" i="25"/>
  <c r="P122" i="25"/>
  <c r="N121" i="25"/>
  <c r="K120" i="25"/>
  <c r="K121" i="25"/>
  <c r="X121" i="25"/>
  <c r="G108" i="25"/>
  <c r="U183" i="25"/>
  <c r="V183" i="25" s="1"/>
  <c r="S183" i="25"/>
  <c r="P183" i="25"/>
  <c r="Q183" i="25" s="1"/>
  <c r="O183" i="25"/>
  <c r="Z183" i="25" s="1"/>
  <c r="F183" i="25"/>
  <c r="G183" i="25" s="1"/>
  <c r="H179" i="25"/>
  <c r="I179" i="25" s="1"/>
  <c r="X172" i="25"/>
  <c r="K170" i="25"/>
  <c r="E165" i="25"/>
  <c r="D165" i="25"/>
  <c r="P165" i="25"/>
  <c r="Q165" i="25" s="1"/>
  <c r="J164" i="25"/>
  <c r="S161" i="25"/>
  <c r="O161" i="25"/>
  <c r="M161" i="25"/>
  <c r="S159" i="25"/>
  <c r="P159" i="25"/>
  <c r="Q159" i="25" s="1"/>
  <c r="O159" i="25"/>
  <c r="Z159" i="25" s="1"/>
  <c r="S157" i="25"/>
  <c r="O157" i="25"/>
  <c r="S155" i="25"/>
  <c r="O155" i="25"/>
  <c r="L144" i="25"/>
  <c r="R143" i="25"/>
  <c r="Z143" i="25" s="1"/>
  <c r="S141" i="25"/>
  <c r="R141" i="25"/>
  <c r="M141" i="25"/>
  <c r="H141" i="25"/>
  <c r="I141" i="25" s="1"/>
  <c r="F141" i="25"/>
  <c r="G141" i="25" s="1"/>
  <c r="N138" i="25"/>
  <c r="S135" i="25"/>
  <c r="Z135" i="25" s="1"/>
  <c r="P135" i="25"/>
  <c r="Q135" i="25" s="1"/>
  <c r="F131" i="25"/>
  <c r="G131" i="25" s="1"/>
  <c r="H129" i="25"/>
  <c r="I129" i="25" s="1"/>
  <c r="F129" i="25"/>
  <c r="G129" i="25" s="1"/>
  <c r="P127" i="25"/>
  <c r="Q127" i="25" s="1"/>
  <c r="O127" i="25"/>
  <c r="Z127" i="25" s="1"/>
  <c r="W125" i="25"/>
  <c r="F125" i="25"/>
  <c r="G125" i="25" s="1"/>
  <c r="D125" i="25"/>
  <c r="E125" i="25" s="1"/>
  <c r="U55" i="25"/>
  <c r="X77" i="25"/>
  <c r="X26" i="25"/>
  <c r="U37" i="25"/>
  <c r="U29" i="25"/>
  <c r="S62" i="25"/>
  <c r="N26" i="25"/>
  <c r="M66" i="25"/>
  <c r="M46" i="25"/>
  <c r="K25" i="25"/>
  <c r="K26" i="25"/>
  <c r="K75" i="25"/>
  <c r="A131" i="25"/>
  <c r="G50" i="16"/>
  <c r="F50" i="16"/>
  <c r="A145" i="16"/>
  <c r="U57" i="19"/>
  <c r="U26" i="19"/>
  <c r="U25" i="19"/>
  <c r="U93" i="19"/>
  <c r="W124" i="19"/>
  <c r="X124" i="19"/>
  <c r="Y124" i="19"/>
  <c r="Z124" i="19"/>
  <c r="X125" i="19"/>
  <c r="Z125" i="19"/>
  <c r="B145" i="16"/>
  <c r="L190" i="19"/>
  <c r="L125" i="19"/>
  <c r="K125" i="19"/>
  <c r="L26" i="19"/>
  <c r="L91" i="19"/>
  <c r="L25" i="19"/>
  <c r="V189" i="15"/>
  <c r="V90" i="15"/>
  <c r="Z155" i="25" l="1"/>
  <c r="Z157" i="25"/>
  <c r="Z161" i="25"/>
  <c r="Z141" i="25"/>
  <c r="P123" i="25"/>
  <c r="Q123" i="25" s="1"/>
  <c r="U125" i="25"/>
  <c r="V125" i="25" s="1"/>
  <c r="U133" i="25"/>
  <c r="V133" i="25" s="1"/>
  <c r="L121" i="16"/>
  <c r="W183" i="16"/>
  <c r="S183" i="16"/>
  <c r="N183" i="16"/>
  <c r="M183" i="16"/>
  <c r="F183" i="16"/>
  <c r="G183" i="16" s="1"/>
  <c r="W180" i="16"/>
  <c r="W181" i="16" s="1"/>
  <c r="X181" i="16" s="1"/>
  <c r="AC181" i="16" s="1"/>
  <c r="T179" i="16"/>
  <c r="M179" i="16"/>
  <c r="L174" i="16"/>
  <c r="D165" i="16"/>
  <c r="E165" i="16" s="1"/>
  <c r="J164" i="16"/>
  <c r="N163" i="16"/>
  <c r="AC163" i="16" s="1"/>
  <c r="S161" i="16"/>
  <c r="N161" i="16"/>
  <c r="M161" i="16"/>
  <c r="S159" i="16"/>
  <c r="N159" i="16"/>
  <c r="M157" i="16"/>
  <c r="AC157" i="16" s="1"/>
  <c r="S155" i="16"/>
  <c r="N155" i="16"/>
  <c r="AC155" i="16" s="1"/>
  <c r="T143" i="16"/>
  <c r="AC143" i="16" s="1"/>
  <c r="Y141" i="16"/>
  <c r="T141" i="16"/>
  <c r="S141" i="16"/>
  <c r="N141" i="16"/>
  <c r="M141" i="16"/>
  <c r="F141" i="16"/>
  <c r="G141" i="16" s="1"/>
  <c r="W141" i="16"/>
  <c r="X141" i="16" s="1"/>
  <c r="F139" i="16"/>
  <c r="G139" i="16" s="1"/>
  <c r="AC139" i="16" s="1"/>
  <c r="F137" i="16"/>
  <c r="G137" i="16" s="1"/>
  <c r="W136" i="16"/>
  <c r="O136" i="16"/>
  <c r="S135" i="16"/>
  <c r="AC135" i="16" s="1"/>
  <c r="W134" i="16"/>
  <c r="W135" i="16" s="1"/>
  <c r="X135" i="16" s="1"/>
  <c r="W132" i="16"/>
  <c r="W133" i="16" s="1"/>
  <c r="X133" i="16" s="1"/>
  <c r="P133" i="16"/>
  <c r="Q133" i="16" s="1"/>
  <c r="W130" i="16"/>
  <c r="F129" i="16"/>
  <c r="G129" i="16" s="1"/>
  <c r="Z128" i="16"/>
  <c r="S127" i="16"/>
  <c r="M127" i="16"/>
  <c r="W126" i="16"/>
  <c r="Y125" i="16"/>
  <c r="S125" i="16"/>
  <c r="N125" i="16"/>
  <c r="F125" i="16"/>
  <c r="G125" i="16" s="1"/>
  <c r="D125" i="16"/>
  <c r="E125" i="16" s="1"/>
  <c r="G108" i="16"/>
  <c r="X31" i="16"/>
  <c r="W32" i="16"/>
  <c r="W31" i="16"/>
  <c r="W85" i="16"/>
  <c r="AC133" i="16" l="1"/>
  <c r="AC179" i="16"/>
  <c r="AC125" i="16"/>
  <c r="W127" i="16"/>
  <c r="X127" i="16" s="1"/>
  <c r="W131" i="16"/>
  <c r="X131" i="16" s="1"/>
  <c r="AC131" i="16" s="1"/>
  <c r="W137" i="16"/>
  <c r="X137" i="16" s="1"/>
  <c r="AC137" i="16" s="1"/>
  <c r="X32" i="16"/>
  <c r="W41" i="16"/>
  <c r="W39" i="16"/>
  <c r="W37" i="16"/>
  <c r="W35" i="16"/>
  <c r="Q69" i="16"/>
  <c r="P69" i="16"/>
  <c r="P70" i="16"/>
  <c r="Q65" i="16"/>
  <c r="P66" i="16"/>
  <c r="P65" i="16"/>
  <c r="Q70" i="16" l="1"/>
  <c r="Q66" i="16"/>
  <c r="P37" i="16"/>
  <c r="P33" i="16"/>
  <c r="P31" i="16"/>
  <c r="P27" i="16"/>
  <c r="M62" i="16"/>
  <c r="M66" i="16"/>
  <c r="M84" i="16"/>
  <c r="M88" i="16"/>
  <c r="AC80" i="16"/>
  <c r="F42" i="16"/>
  <c r="M25" i="16"/>
  <c r="M32" i="16"/>
  <c r="G42" i="16" l="1"/>
  <c r="W166" i="19" l="1"/>
  <c r="W164" i="19"/>
  <c r="W162" i="19"/>
  <c r="W160" i="19"/>
  <c r="W142" i="19"/>
  <c r="W136" i="19"/>
  <c r="W132" i="19"/>
  <c r="P164" i="19"/>
  <c r="P140" i="19"/>
  <c r="P138" i="19"/>
  <c r="P130" i="19"/>
  <c r="P126" i="19"/>
  <c r="X189" i="19"/>
  <c r="V189" i="19"/>
  <c r="R189" i="19"/>
  <c r="O189" i="19"/>
  <c r="M189" i="19"/>
  <c r="L189" i="19"/>
  <c r="F189" i="19"/>
  <c r="G189" i="19" s="1"/>
  <c r="D187" i="19"/>
  <c r="E187" i="19" s="1"/>
  <c r="AA187" i="19" s="1"/>
  <c r="R181" i="19"/>
  <c r="AA181" i="19" s="1"/>
  <c r="Y179" i="19"/>
  <c r="H179" i="19"/>
  <c r="I179" i="19" s="1"/>
  <c r="Y177" i="19"/>
  <c r="AA177" i="19" s="1"/>
  <c r="Z174" i="19"/>
  <c r="D171" i="19"/>
  <c r="E171" i="19" s="1"/>
  <c r="AA171" i="19" s="1"/>
  <c r="J170" i="19"/>
  <c r="M169" i="19"/>
  <c r="AA169" i="19" s="1"/>
  <c r="M167" i="19"/>
  <c r="W167" i="19"/>
  <c r="X167" i="19" s="1"/>
  <c r="M165" i="19"/>
  <c r="W165" i="19"/>
  <c r="X165" i="19" s="1"/>
  <c r="W163" i="19"/>
  <c r="X163" i="19" s="1"/>
  <c r="AA163" i="19" s="1"/>
  <c r="V163" i="19"/>
  <c r="M161" i="19"/>
  <c r="W161" i="19"/>
  <c r="X161" i="19" s="1"/>
  <c r="K150" i="19"/>
  <c r="S149" i="19"/>
  <c r="AA149" i="19" s="1"/>
  <c r="Y147" i="19"/>
  <c r="V147" i="19"/>
  <c r="S147" i="19"/>
  <c r="F147" i="19"/>
  <c r="G147" i="19" s="1"/>
  <c r="F145" i="19"/>
  <c r="G145" i="19" s="1"/>
  <c r="AA145" i="19" s="1"/>
  <c r="V143" i="19"/>
  <c r="W143" i="19"/>
  <c r="X143" i="19" s="1"/>
  <c r="V141" i="19"/>
  <c r="W137" i="19"/>
  <c r="V135" i="19"/>
  <c r="V133" i="19"/>
  <c r="M133" i="19"/>
  <c r="W133" i="19"/>
  <c r="X133" i="19" s="1"/>
  <c r="V131" i="19"/>
  <c r="R131" i="19"/>
  <c r="F131" i="19"/>
  <c r="G131" i="19" s="1"/>
  <c r="D131" i="19"/>
  <c r="E131" i="19" s="1"/>
  <c r="N128" i="19"/>
  <c r="N129" i="19" s="1"/>
  <c r="O129" i="19" s="1"/>
  <c r="AA129" i="19" s="1"/>
  <c r="V42" i="19"/>
  <c r="AA94" i="19"/>
  <c r="W68" i="19"/>
  <c r="W67" i="19"/>
  <c r="W64" i="19"/>
  <c r="W63" i="19"/>
  <c r="X64" i="19"/>
  <c r="W62" i="19"/>
  <c r="W61" i="19"/>
  <c r="W65" i="19"/>
  <c r="W43" i="19"/>
  <c r="W33" i="19"/>
  <c r="W37" i="19"/>
  <c r="V44" i="19"/>
  <c r="V32" i="19"/>
  <c r="V36" i="19"/>
  <c r="V34" i="19"/>
  <c r="N29" i="19"/>
  <c r="M70" i="19"/>
  <c r="G112" i="19"/>
  <c r="AA167" i="19" l="1"/>
  <c r="AA143" i="19"/>
  <c r="AA161" i="19"/>
  <c r="AA179" i="19"/>
  <c r="AA133" i="19"/>
  <c r="X137" i="19"/>
  <c r="X68" i="19"/>
  <c r="X62" i="19"/>
  <c r="X142" i="19" l="1"/>
  <c r="AA137" i="19"/>
  <c r="U179" i="26"/>
  <c r="U84" i="26"/>
  <c r="Z84" i="26" s="1"/>
  <c r="P174" i="26"/>
  <c r="P158" i="26"/>
  <c r="P156" i="26"/>
  <c r="P136" i="26"/>
  <c r="P124" i="26"/>
  <c r="P122" i="26"/>
  <c r="O121" i="26"/>
  <c r="R120" i="26"/>
  <c r="J120" i="26"/>
  <c r="L121" i="26"/>
  <c r="K121" i="26"/>
  <c r="W183" i="26"/>
  <c r="U183" i="26"/>
  <c r="R183" i="26"/>
  <c r="P183" i="26"/>
  <c r="Q183" i="26" s="1"/>
  <c r="O183" i="26"/>
  <c r="N183" i="26"/>
  <c r="G183" i="26"/>
  <c r="F183" i="26"/>
  <c r="X181" i="26"/>
  <c r="W181" i="26"/>
  <c r="S179" i="26"/>
  <c r="Z179" i="26" s="1"/>
  <c r="P175" i="26"/>
  <c r="Q175" i="26" s="1"/>
  <c r="H173" i="26"/>
  <c r="I173" i="26" s="1"/>
  <c r="X171" i="26"/>
  <c r="Z171" i="26" s="1"/>
  <c r="V171" i="26"/>
  <c r="W171" i="26" s="1"/>
  <c r="W169" i="26"/>
  <c r="E165" i="26"/>
  <c r="D165" i="26"/>
  <c r="L164" i="26"/>
  <c r="R163" i="26"/>
  <c r="Z163" i="26" s="1"/>
  <c r="U161" i="26"/>
  <c r="N161" i="26"/>
  <c r="U159" i="26"/>
  <c r="N159" i="26"/>
  <c r="V158" i="26"/>
  <c r="V159" i="26" s="1"/>
  <c r="W159" i="26" s="1"/>
  <c r="U157" i="26"/>
  <c r="N157" i="26"/>
  <c r="Z157" i="26" s="1"/>
  <c r="N155" i="26"/>
  <c r="Z155" i="26" s="1"/>
  <c r="V154" i="26"/>
  <c r="V155" i="26" s="1"/>
  <c r="W155" i="26" s="1"/>
  <c r="M144" i="26"/>
  <c r="S143" i="26"/>
  <c r="Z143" i="26" s="1"/>
  <c r="X141" i="26"/>
  <c r="U141" i="26"/>
  <c r="S141" i="26"/>
  <c r="H141" i="26"/>
  <c r="I141" i="26" s="1"/>
  <c r="G141" i="26"/>
  <c r="F141" i="26"/>
  <c r="F139" i="26"/>
  <c r="G139" i="26" s="1"/>
  <c r="N137" i="26"/>
  <c r="Z137" i="26" s="1"/>
  <c r="P137" i="26"/>
  <c r="Q137" i="26" s="1"/>
  <c r="J136" i="26"/>
  <c r="J137" i="26" s="1"/>
  <c r="K137" i="26" s="1"/>
  <c r="R135" i="26"/>
  <c r="O135" i="26"/>
  <c r="N135" i="26"/>
  <c r="O132" i="26"/>
  <c r="V130" i="26"/>
  <c r="V131" i="26" s="1"/>
  <c r="W131" i="26" s="1"/>
  <c r="N129" i="26"/>
  <c r="Z129" i="26" s="1"/>
  <c r="H129" i="26"/>
  <c r="I129" i="26" s="1"/>
  <c r="G129" i="26"/>
  <c r="F129" i="26"/>
  <c r="U127" i="26"/>
  <c r="N125" i="26"/>
  <c r="F125" i="26"/>
  <c r="G125" i="26" s="1"/>
  <c r="D125" i="26"/>
  <c r="E125" i="26" s="1"/>
  <c r="V124" i="26"/>
  <c r="P63" i="26"/>
  <c r="Z78" i="26"/>
  <c r="Z34" i="26"/>
  <c r="G33" i="26"/>
  <c r="F34" i="26"/>
  <c r="G34" i="26" s="1"/>
  <c r="Z88" i="26"/>
  <c r="Z82" i="26"/>
  <c r="Z80" i="26"/>
  <c r="Z74" i="26"/>
  <c r="Z72" i="26"/>
  <c r="Z70" i="26"/>
  <c r="Z68" i="26"/>
  <c r="Z66" i="26"/>
  <c r="Z62" i="26"/>
  <c r="Z60" i="26"/>
  <c r="Z50" i="26"/>
  <c r="Z48" i="26"/>
  <c r="Z46" i="26"/>
  <c r="Z44" i="26"/>
  <c r="Z42" i="26"/>
  <c r="Z40" i="26"/>
  <c r="Z36" i="26"/>
  <c r="Z32" i="26"/>
  <c r="Z30" i="26"/>
  <c r="Z28" i="26"/>
  <c r="Z90" i="26"/>
  <c r="W81" i="26"/>
  <c r="V82" i="26"/>
  <c r="V81" i="26"/>
  <c r="V29" i="26"/>
  <c r="V63" i="26"/>
  <c r="W59" i="26"/>
  <c r="V60" i="26"/>
  <c r="V59" i="26"/>
  <c r="V35" i="26"/>
  <c r="Q61" i="26"/>
  <c r="P62" i="26"/>
  <c r="P61" i="26"/>
  <c r="U62" i="26"/>
  <c r="U46" i="26"/>
  <c r="R55" i="26"/>
  <c r="R88" i="26"/>
  <c r="R82" i="26"/>
  <c r="R68" i="26"/>
  <c r="R40" i="26"/>
  <c r="P41" i="26"/>
  <c r="Q41" i="26" s="1"/>
  <c r="P29" i="26"/>
  <c r="P80" i="26"/>
  <c r="Q79" i="26"/>
  <c r="P79" i="26"/>
  <c r="P27" i="26"/>
  <c r="Q80" i="26"/>
  <c r="R25" i="26"/>
  <c r="N34" i="26"/>
  <c r="N42" i="26"/>
  <c r="O26" i="26"/>
  <c r="O37" i="26"/>
  <c r="N40" i="26"/>
  <c r="J41" i="26"/>
  <c r="J25" i="26"/>
  <c r="K26" i="26" s="1"/>
  <c r="K41" i="26" s="1"/>
  <c r="L26" i="26"/>
  <c r="L69" i="26"/>
  <c r="W110" i="26"/>
  <c r="T108" i="26"/>
  <c r="S102" i="26"/>
  <c r="Z135" i="26" l="1"/>
  <c r="Z141" i="26"/>
  <c r="Z159" i="26"/>
  <c r="Z161" i="26"/>
  <c r="Z181" i="26"/>
  <c r="Z183" i="26"/>
  <c r="P157" i="26"/>
  <c r="Q157" i="26" s="1"/>
  <c r="P159" i="26"/>
  <c r="Q159" i="26" s="1"/>
  <c r="P123" i="26"/>
  <c r="Q123" i="26" s="1"/>
  <c r="P125" i="26"/>
  <c r="Q125" i="26" s="1"/>
  <c r="V125" i="26"/>
  <c r="W82" i="26"/>
  <c r="W60" i="26"/>
  <c r="Q62" i="26"/>
  <c r="P42" i="26"/>
  <c r="Q42" i="26" s="1"/>
  <c r="J42" i="26"/>
  <c r="K42" i="26" s="1"/>
  <c r="G26" i="26"/>
  <c r="K125" i="13"/>
  <c r="V31" i="13"/>
  <c r="V180" i="13" l="1"/>
  <c r="V146" i="13"/>
  <c r="V142" i="13"/>
  <c r="V138" i="13"/>
  <c r="V130" i="13"/>
  <c r="V128" i="13"/>
  <c r="Q170" i="13"/>
  <c r="Q140" i="13"/>
  <c r="Q134" i="13"/>
  <c r="Q132" i="13"/>
  <c r="Q126" i="13"/>
  <c r="V47" i="13"/>
  <c r="V39" i="13"/>
  <c r="V81" i="13"/>
  <c r="V43" i="13"/>
  <c r="X125" i="13"/>
  <c r="X26" i="13"/>
  <c r="V189" i="13"/>
  <c r="W189" i="13" s="1"/>
  <c r="O189" i="13"/>
  <c r="N189" i="13"/>
  <c r="M189" i="13"/>
  <c r="F189" i="13"/>
  <c r="G189" i="13" s="1"/>
  <c r="X176" i="13"/>
  <c r="E171" i="13"/>
  <c r="D171" i="13"/>
  <c r="Q171" i="13"/>
  <c r="R171" i="13" s="1"/>
  <c r="J170" i="13"/>
  <c r="M169" i="13"/>
  <c r="AA169" i="13" s="1"/>
  <c r="O167" i="13"/>
  <c r="N167" i="13"/>
  <c r="M167" i="13"/>
  <c r="O165" i="13"/>
  <c r="N165" i="13"/>
  <c r="O163" i="13"/>
  <c r="AA163" i="13" s="1"/>
  <c r="O161" i="13"/>
  <c r="N161" i="13"/>
  <c r="N151" i="13"/>
  <c r="AA151" i="13" s="1"/>
  <c r="S149" i="13"/>
  <c r="AA149" i="13" s="1"/>
  <c r="S147" i="13"/>
  <c r="O147" i="13"/>
  <c r="F147" i="13"/>
  <c r="G147" i="13" s="1"/>
  <c r="V147" i="13"/>
  <c r="W147" i="13" s="1"/>
  <c r="K144" i="13"/>
  <c r="V141" i="13"/>
  <c r="W141" i="13" s="1"/>
  <c r="O141" i="13"/>
  <c r="G139" i="13"/>
  <c r="F137" i="13"/>
  <c r="G137" i="13" s="1"/>
  <c r="AA137" i="13" s="1"/>
  <c r="N135" i="13"/>
  <c r="F135" i="13"/>
  <c r="G135" i="13" s="1"/>
  <c r="Q135" i="13"/>
  <c r="R135" i="13" s="1"/>
  <c r="O133" i="13"/>
  <c r="N133" i="13"/>
  <c r="M133" i="13"/>
  <c r="O131" i="13"/>
  <c r="N131" i="13"/>
  <c r="F131" i="13"/>
  <c r="G131" i="13" s="1"/>
  <c r="D131" i="13"/>
  <c r="V131" i="13"/>
  <c r="W131" i="13" s="1"/>
  <c r="V129" i="13"/>
  <c r="W129" i="13" s="1"/>
  <c r="AA129" i="13" s="1"/>
  <c r="X77" i="13"/>
  <c r="G112" i="13"/>
  <c r="V82" i="13"/>
  <c r="Q33" i="13"/>
  <c r="O62" i="13"/>
  <c r="O32" i="13"/>
  <c r="M57" i="13"/>
  <c r="N52" i="13"/>
  <c r="AA94" i="13"/>
  <c r="AA76" i="13"/>
  <c r="AA74" i="13"/>
  <c r="AA52" i="13"/>
  <c r="AA50" i="13"/>
  <c r="AA46" i="13"/>
  <c r="AA80" i="13"/>
  <c r="G110" i="14"/>
  <c r="U136" i="14"/>
  <c r="U134" i="14"/>
  <c r="U130" i="14"/>
  <c r="U126" i="14"/>
  <c r="Q162" i="14"/>
  <c r="Q160" i="14"/>
  <c r="Q128" i="14"/>
  <c r="Q124" i="14"/>
  <c r="K123" i="14"/>
  <c r="J123" i="14"/>
  <c r="P189" i="14"/>
  <c r="O189" i="14"/>
  <c r="L189" i="14"/>
  <c r="F189" i="14"/>
  <c r="G189" i="14" s="1"/>
  <c r="S175" i="14"/>
  <c r="Y175" i="14" s="1"/>
  <c r="H171" i="14"/>
  <c r="I171" i="14" s="1"/>
  <c r="D165" i="14"/>
  <c r="E165" i="14" s="1"/>
  <c r="J164" i="14"/>
  <c r="O163" i="14"/>
  <c r="L163" i="14"/>
  <c r="O161" i="14"/>
  <c r="L159" i="14"/>
  <c r="Y159" i="14" s="1"/>
  <c r="O157" i="14"/>
  <c r="L157" i="14"/>
  <c r="K146" i="14"/>
  <c r="S145" i="14"/>
  <c r="Y145" i="14" s="1"/>
  <c r="W143" i="14"/>
  <c r="S143" i="14"/>
  <c r="Y143" i="14" s="1"/>
  <c r="F143" i="14"/>
  <c r="G143" i="14" s="1"/>
  <c r="F139" i="14"/>
  <c r="G139" i="14" s="1"/>
  <c r="L137" i="14"/>
  <c r="Y137" i="14" s="1"/>
  <c r="P133" i="14"/>
  <c r="Y133" i="14" s="1"/>
  <c r="W131" i="14"/>
  <c r="Y131" i="14" s="1"/>
  <c r="F131" i="14"/>
  <c r="G131" i="14" s="1"/>
  <c r="O129" i="14"/>
  <c r="L129" i="14"/>
  <c r="P127" i="14"/>
  <c r="O127" i="14"/>
  <c r="Y127" i="14" s="1"/>
  <c r="F127" i="14"/>
  <c r="G127" i="14" s="1"/>
  <c r="D127" i="14"/>
  <c r="E127" i="14" s="1"/>
  <c r="Y40" i="14"/>
  <c r="Y78" i="14"/>
  <c r="Y76" i="14"/>
  <c r="Y74" i="14"/>
  <c r="Y34" i="14"/>
  <c r="Y90" i="14"/>
  <c r="Y88" i="14"/>
  <c r="Y86" i="14"/>
  <c r="Y84" i="14"/>
  <c r="Y82" i="14"/>
  <c r="Y80" i="14"/>
  <c r="Y72" i="14"/>
  <c r="Y70" i="14"/>
  <c r="Y68" i="14"/>
  <c r="Y66" i="14"/>
  <c r="Y64" i="14"/>
  <c r="Y62" i="14"/>
  <c r="Y60" i="14"/>
  <c r="Y50" i="14"/>
  <c r="Y48" i="14"/>
  <c r="Y46" i="14"/>
  <c r="Y44" i="14"/>
  <c r="Y42" i="14"/>
  <c r="Y38" i="14"/>
  <c r="Y32" i="14"/>
  <c r="Y28" i="14"/>
  <c r="W34" i="14"/>
  <c r="Q79" i="14"/>
  <c r="R79" i="14"/>
  <c r="Q80" i="14"/>
  <c r="Q65" i="14"/>
  <c r="Q63" i="14"/>
  <c r="Q31" i="14"/>
  <c r="P36" i="14"/>
  <c r="Y36" i="14" s="1"/>
  <c r="M44" i="14"/>
  <c r="M40" i="14"/>
  <c r="M25" i="14"/>
  <c r="M39" i="14"/>
  <c r="M63" i="14"/>
  <c r="M64" i="14"/>
  <c r="M43" i="14"/>
  <c r="L92" i="14"/>
  <c r="L40" i="14"/>
  <c r="L62" i="14"/>
  <c r="L66" i="14"/>
  <c r="L60" i="14"/>
  <c r="L32" i="14"/>
  <c r="M55" i="14"/>
  <c r="A101" i="14"/>
  <c r="N25" i="14"/>
  <c r="L25" i="14"/>
  <c r="K49" i="14"/>
  <c r="K26" i="14"/>
  <c r="K25" i="14"/>
  <c r="K55" i="14"/>
  <c r="K122" i="14"/>
  <c r="K152" i="14"/>
  <c r="J26" i="14"/>
  <c r="J67" i="14"/>
  <c r="AA171" i="13" l="1"/>
  <c r="AA165" i="13"/>
  <c r="AA167" i="13"/>
  <c r="AA161" i="13"/>
  <c r="Y129" i="14"/>
  <c r="Y157" i="14"/>
  <c r="Y163" i="14"/>
  <c r="Y189" i="14"/>
  <c r="V143" i="13"/>
  <c r="W143" i="13" s="1"/>
  <c r="AA143" i="13" s="1"/>
  <c r="V181" i="13"/>
  <c r="W181" i="13" s="1"/>
  <c r="AA181" i="13" s="1"/>
  <c r="V139" i="13"/>
  <c r="W139" i="13" s="1"/>
  <c r="AA139" i="13" s="1"/>
  <c r="Q34" i="13"/>
  <c r="R34" i="13" s="1"/>
  <c r="W82" i="13"/>
  <c r="Q129" i="14"/>
  <c r="R129" i="14" s="1"/>
  <c r="R80" i="14"/>
  <c r="N40" i="14"/>
  <c r="N64" i="14"/>
  <c r="N44" i="14"/>
  <c r="B185" i="26" l="1"/>
  <c r="A185" i="26"/>
  <c r="B183" i="26"/>
  <c r="A183" i="26"/>
  <c r="B181" i="26"/>
  <c r="A181" i="26"/>
  <c r="B179" i="26"/>
  <c r="A179" i="26"/>
  <c r="B177" i="26"/>
  <c r="A177" i="26"/>
  <c r="AA175" i="26"/>
  <c r="A175" i="26"/>
  <c r="B173" i="26"/>
  <c r="A173" i="26"/>
  <c r="B171" i="26"/>
  <c r="A171" i="26"/>
  <c r="AA169" i="26"/>
  <c r="B169" i="26"/>
  <c r="A169" i="26"/>
  <c r="B167" i="26"/>
  <c r="AA167" i="26" s="1"/>
  <c r="A167" i="26"/>
  <c r="B165" i="26"/>
  <c r="A165" i="26"/>
  <c r="B163" i="26"/>
  <c r="A163" i="26"/>
  <c r="B161" i="26"/>
  <c r="A161" i="26"/>
  <c r="B159" i="26"/>
  <c r="A159" i="26"/>
  <c r="B157" i="26"/>
  <c r="A157" i="26"/>
  <c r="B155" i="26"/>
  <c r="A155" i="26"/>
  <c r="Y150" i="26"/>
  <c r="X150" i="26"/>
  <c r="V150" i="26"/>
  <c r="U150" i="26"/>
  <c r="S150" i="26"/>
  <c r="P150" i="26"/>
  <c r="O150" i="26"/>
  <c r="N150" i="26"/>
  <c r="M150" i="26"/>
  <c r="L150" i="26"/>
  <c r="J150" i="26"/>
  <c r="H150" i="26"/>
  <c r="F150" i="26"/>
  <c r="E150" i="26"/>
  <c r="D150" i="26"/>
  <c r="B145" i="26"/>
  <c r="AA145" i="26" s="1"/>
  <c r="A145" i="26"/>
  <c r="AA143" i="26"/>
  <c r="B143" i="26"/>
  <c r="A143" i="26"/>
  <c r="B141" i="26"/>
  <c r="A141" i="26"/>
  <c r="AA139" i="26"/>
  <c r="B139" i="26"/>
  <c r="A139" i="26"/>
  <c r="B137" i="26"/>
  <c r="A137" i="26"/>
  <c r="B135" i="26"/>
  <c r="A135" i="26"/>
  <c r="B133" i="26"/>
  <c r="A133" i="26"/>
  <c r="B131" i="26"/>
  <c r="A131" i="26"/>
  <c r="B129" i="26"/>
  <c r="A129" i="26"/>
  <c r="B127" i="26"/>
  <c r="A127" i="26"/>
  <c r="B125" i="26"/>
  <c r="A125" i="26"/>
  <c r="B123" i="26"/>
  <c r="A123" i="26"/>
  <c r="Y121" i="26"/>
  <c r="T121" i="26"/>
  <c r="M121" i="26"/>
  <c r="K136" i="26"/>
  <c r="G121" i="26"/>
  <c r="E121" i="26"/>
  <c r="Y120" i="26"/>
  <c r="Y168" i="26" s="1"/>
  <c r="X120" i="26"/>
  <c r="W120" i="26"/>
  <c r="V120" i="26"/>
  <c r="W121" i="26" s="1"/>
  <c r="U120" i="26"/>
  <c r="T120" i="26"/>
  <c r="T166" i="26" s="1"/>
  <c r="S120" i="26"/>
  <c r="Q120" i="26"/>
  <c r="P120" i="26"/>
  <c r="O120" i="26"/>
  <c r="N120" i="26"/>
  <c r="N127" i="26" s="1"/>
  <c r="Z127" i="26" s="1"/>
  <c r="M120" i="26"/>
  <c r="L120" i="26"/>
  <c r="K120" i="26"/>
  <c r="I120" i="26"/>
  <c r="H120" i="26"/>
  <c r="AA181" i="26" s="1"/>
  <c r="G120" i="26"/>
  <c r="E120" i="26"/>
  <c r="D120" i="26"/>
  <c r="I108" i="26"/>
  <c r="G108" i="26"/>
  <c r="A99" i="26"/>
  <c r="AD90" i="26"/>
  <c r="AD88" i="26"/>
  <c r="W88" i="26"/>
  <c r="U88" i="26"/>
  <c r="N88" i="26"/>
  <c r="F88" i="26"/>
  <c r="G88" i="26" s="1"/>
  <c r="AD86" i="26"/>
  <c r="X86" i="26"/>
  <c r="AD84" i="26"/>
  <c r="S84" i="26"/>
  <c r="AD82" i="26"/>
  <c r="AD80" i="26"/>
  <c r="AA80" i="26"/>
  <c r="AD78" i="26"/>
  <c r="AD76" i="26"/>
  <c r="X76" i="26"/>
  <c r="Z76" i="26" s="1"/>
  <c r="AD74" i="26"/>
  <c r="AA74" i="26"/>
  <c r="AD72" i="26"/>
  <c r="AC72" i="26"/>
  <c r="AA72" i="26"/>
  <c r="AD70" i="26"/>
  <c r="D70" i="26"/>
  <c r="E70" i="26" s="1"/>
  <c r="Y69" i="26"/>
  <c r="AD68" i="26"/>
  <c r="AD66" i="26"/>
  <c r="U66" i="26"/>
  <c r="N66" i="26"/>
  <c r="AD64" i="26"/>
  <c r="U64" i="26"/>
  <c r="N64" i="26"/>
  <c r="AD62" i="26"/>
  <c r="AD60" i="26"/>
  <c r="N60" i="26"/>
  <c r="Y55" i="26"/>
  <c r="X55" i="26"/>
  <c r="V55" i="26"/>
  <c r="U55" i="26"/>
  <c r="S55" i="26"/>
  <c r="P55" i="26"/>
  <c r="O55" i="26"/>
  <c r="N55" i="26"/>
  <c r="M55" i="26"/>
  <c r="L55" i="26"/>
  <c r="J55" i="26"/>
  <c r="H55" i="26"/>
  <c r="F55" i="26"/>
  <c r="E55" i="26"/>
  <c r="D55" i="26"/>
  <c r="AD50" i="26"/>
  <c r="AA50" i="26"/>
  <c r="M49" i="26"/>
  <c r="AD48" i="26"/>
  <c r="S48" i="26"/>
  <c r="AD46" i="26"/>
  <c r="X46" i="26"/>
  <c r="S46" i="26"/>
  <c r="F46" i="26"/>
  <c r="G46" i="26" s="1"/>
  <c r="AD44" i="26"/>
  <c r="F44" i="26"/>
  <c r="G44" i="26" s="1"/>
  <c r="AD42" i="26"/>
  <c r="AD40" i="26"/>
  <c r="AD38" i="26"/>
  <c r="AD36" i="26"/>
  <c r="AD34" i="26"/>
  <c r="H34" i="26"/>
  <c r="I34" i="26" s="1"/>
  <c r="AD32" i="26"/>
  <c r="U32" i="26"/>
  <c r="O32" i="26"/>
  <c r="V32" i="26"/>
  <c r="W32" i="26" s="1"/>
  <c r="AD30" i="26"/>
  <c r="O30" i="26"/>
  <c r="N30" i="26"/>
  <c r="F30" i="26"/>
  <c r="G30" i="26" s="1"/>
  <c r="D30" i="26"/>
  <c r="E30" i="26" s="1"/>
  <c r="AD28" i="26"/>
  <c r="Y26" i="26"/>
  <c r="T26" i="26"/>
  <c r="M26" i="26"/>
  <c r="G43" i="26"/>
  <c r="E26" i="26"/>
  <c r="E69" i="26" s="1"/>
  <c r="Y25" i="26"/>
  <c r="Y73" i="26" s="1"/>
  <c r="X25" i="26"/>
  <c r="W25" i="26"/>
  <c r="V25" i="26"/>
  <c r="U25" i="26"/>
  <c r="T25" i="26"/>
  <c r="T71" i="26" s="1"/>
  <c r="S25" i="26"/>
  <c r="Q25" i="26"/>
  <c r="P25" i="26"/>
  <c r="O25" i="26"/>
  <c r="N25" i="26"/>
  <c r="N32" i="26" s="1"/>
  <c r="M25" i="26"/>
  <c r="L25" i="26"/>
  <c r="K25" i="26"/>
  <c r="I25" i="26"/>
  <c r="H25" i="26"/>
  <c r="H78" i="26" s="1"/>
  <c r="I78" i="26" s="1"/>
  <c r="G25" i="26"/>
  <c r="E25" i="26"/>
  <c r="D25" i="26"/>
  <c r="I13" i="26"/>
  <c r="K13" i="26" s="1"/>
  <c r="AA93" i="26" s="1"/>
  <c r="E164" i="26" l="1"/>
  <c r="E124" i="26"/>
  <c r="W170" i="26"/>
  <c r="W130" i="26"/>
  <c r="W124" i="26"/>
  <c r="W125" i="26" s="1"/>
  <c r="W154" i="26"/>
  <c r="W158" i="26"/>
  <c r="G182" i="26"/>
  <c r="G140" i="26"/>
  <c r="G138" i="26"/>
  <c r="G124" i="26"/>
  <c r="G128" i="26"/>
  <c r="AA131" i="26"/>
  <c r="AA171" i="26"/>
  <c r="Q26" i="26"/>
  <c r="Q63" i="26" s="1"/>
  <c r="V30" i="26"/>
  <c r="AA157" i="26"/>
  <c r="AA179" i="26"/>
  <c r="AA78" i="26"/>
  <c r="AC76" i="26"/>
  <c r="AC62" i="26"/>
  <c r="AA48" i="26"/>
  <c r="AC48" i="26"/>
  <c r="AC84" i="26"/>
  <c r="AC90" i="26"/>
  <c r="AC80" i="26"/>
  <c r="AA76" i="26"/>
  <c r="AC44" i="26"/>
  <c r="AA44" i="26"/>
  <c r="AA62" i="26"/>
  <c r="AC38" i="26"/>
  <c r="AA38" i="26"/>
  <c r="AA84" i="26"/>
  <c r="W26" i="26"/>
  <c r="P28" i="26"/>
  <c r="Q28" i="26" s="1"/>
  <c r="E29" i="26"/>
  <c r="V36" i="26"/>
  <c r="W36" i="26" s="1"/>
  <c r="V64" i="26"/>
  <c r="W64" i="26" s="1"/>
  <c r="Q87" i="26"/>
  <c r="Z86" i="26"/>
  <c r="H46" i="26"/>
  <c r="I46" i="26" s="1"/>
  <c r="I26" i="26"/>
  <c r="Q29" i="26"/>
  <c r="P88" i="26"/>
  <c r="Q88" i="26" s="1"/>
  <c r="P64" i="26"/>
  <c r="Q64" i="26" s="1"/>
  <c r="Z64" i="26" s="1"/>
  <c r="G87" i="26"/>
  <c r="G45" i="26"/>
  <c r="G29" i="26"/>
  <c r="P30" i="26"/>
  <c r="Q30" i="26" s="1"/>
  <c r="W31" i="26"/>
  <c r="AC50" i="26"/>
  <c r="AC74" i="26"/>
  <c r="AA133" i="26"/>
  <c r="AA141" i="26"/>
  <c r="K108" i="26"/>
  <c r="AA188" i="26" s="1"/>
  <c r="AA161" i="26"/>
  <c r="AA127" i="26"/>
  <c r="Q121" i="26"/>
  <c r="AA123" i="26"/>
  <c r="AA129" i="26"/>
  <c r="AA135" i="26"/>
  <c r="AA155" i="26"/>
  <c r="AA159" i="26"/>
  <c r="AA183" i="26"/>
  <c r="AA185" i="26"/>
  <c r="AA137" i="26"/>
  <c r="AA165" i="26"/>
  <c r="AA177" i="26"/>
  <c r="I121" i="26"/>
  <c r="AA163" i="26"/>
  <c r="AA173" i="26"/>
  <c r="G112" i="15"/>
  <c r="B179" i="15"/>
  <c r="B193" i="15"/>
  <c r="B191" i="15"/>
  <c r="B189" i="15"/>
  <c r="A193" i="15"/>
  <c r="A191" i="15"/>
  <c r="A189" i="15"/>
  <c r="V193" i="15"/>
  <c r="P193" i="15"/>
  <c r="V191" i="15"/>
  <c r="P189" i="15"/>
  <c r="O189" i="15"/>
  <c r="M189" i="15"/>
  <c r="F189" i="15"/>
  <c r="G189" i="15" s="1"/>
  <c r="P187" i="15"/>
  <c r="U183" i="15"/>
  <c r="P183" i="15"/>
  <c r="P181" i="15"/>
  <c r="S179" i="15"/>
  <c r="H177" i="15"/>
  <c r="I177" i="15" s="1"/>
  <c r="W175" i="15"/>
  <c r="E169" i="15"/>
  <c r="D169" i="15"/>
  <c r="K168" i="15"/>
  <c r="M167" i="15"/>
  <c r="D167" i="15"/>
  <c r="E167" i="15" s="1"/>
  <c r="P165" i="15"/>
  <c r="M165" i="15"/>
  <c r="Q164" i="15"/>
  <c r="P163" i="15"/>
  <c r="M163" i="15"/>
  <c r="Q162" i="15"/>
  <c r="U161" i="15"/>
  <c r="M161" i="15"/>
  <c r="U159" i="15"/>
  <c r="P159" i="15"/>
  <c r="M159" i="15"/>
  <c r="S149" i="15"/>
  <c r="S147" i="15"/>
  <c r="L146" i="15"/>
  <c r="L125" i="15" s="1"/>
  <c r="W145" i="15"/>
  <c r="V145" i="15"/>
  <c r="S145" i="15"/>
  <c r="P145" i="15"/>
  <c r="M145" i="15"/>
  <c r="F145" i="15"/>
  <c r="G145" i="15" s="1"/>
  <c r="O143" i="15"/>
  <c r="F143" i="15"/>
  <c r="G143" i="15" s="1"/>
  <c r="F141" i="15"/>
  <c r="G141" i="15" s="1"/>
  <c r="V139" i="15"/>
  <c r="P139" i="15"/>
  <c r="Q138" i="15"/>
  <c r="V137" i="15"/>
  <c r="N134" i="15"/>
  <c r="W133" i="15"/>
  <c r="F133" i="15"/>
  <c r="G133" i="15" s="1"/>
  <c r="V131" i="15"/>
  <c r="U131" i="15"/>
  <c r="P131" i="15"/>
  <c r="M131" i="15"/>
  <c r="V129" i="15"/>
  <c r="U129" i="15"/>
  <c r="Q129" i="15"/>
  <c r="R129" i="15" s="1"/>
  <c r="P129" i="15"/>
  <c r="O129" i="15"/>
  <c r="M129" i="15"/>
  <c r="F129" i="15"/>
  <c r="G129" i="15" s="1"/>
  <c r="D129" i="15"/>
  <c r="E129" i="15" s="1"/>
  <c r="Q128" i="15"/>
  <c r="Q126" i="15"/>
  <c r="X125" i="15"/>
  <c r="T125" i="15"/>
  <c r="N125" i="15"/>
  <c r="K125" i="15"/>
  <c r="G125" i="15"/>
  <c r="G128" i="15" s="1"/>
  <c r="E125" i="15"/>
  <c r="E184" i="15" s="1"/>
  <c r="X124" i="15"/>
  <c r="X172" i="15" s="1"/>
  <c r="W124" i="15"/>
  <c r="V124" i="15"/>
  <c r="U124" i="15"/>
  <c r="U181" i="15" s="1"/>
  <c r="T124" i="15"/>
  <c r="T170" i="15" s="1"/>
  <c r="S124" i="15"/>
  <c r="R124" i="15"/>
  <c r="Q124" i="15"/>
  <c r="R125" i="15" s="1"/>
  <c r="P124" i="15"/>
  <c r="O124" i="15"/>
  <c r="N124" i="15"/>
  <c r="M124" i="15"/>
  <c r="L124" i="15"/>
  <c r="K124" i="15"/>
  <c r="I124" i="15"/>
  <c r="H124" i="15"/>
  <c r="I125" i="15" s="1"/>
  <c r="I132" i="15" s="1"/>
  <c r="G124" i="15"/>
  <c r="E124" i="15"/>
  <c r="U189" i="15" s="1"/>
  <c r="D124" i="15"/>
  <c r="V94" i="15"/>
  <c r="Y94" i="15"/>
  <c r="P94" i="15"/>
  <c r="V92" i="15"/>
  <c r="P90" i="15"/>
  <c r="O90" i="15"/>
  <c r="M90" i="15"/>
  <c r="F90" i="15"/>
  <c r="G90" i="15" s="1"/>
  <c r="P88" i="15"/>
  <c r="Q87" i="15"/>
  <c r="U84" i="15"/>
  <c r="P84" i="15"/>
  <c r="P82" i="15"/>
  <c r="S80" i="15"/>
  <c r="Y80" i="15" s="1"/>
  <c r="I78" i="15"/>
  <c r="H78" i="15"/>
  <c r="W76" i="15"/>
  <c r="E70" i="15"/>
  <c r="D70" i="15"/>
  <c r="K69" i="15"/>
  <c r="M68" i="15"/>
  <c r="P66" i="15"/>
  <c r="M66" i="15"/>
  <c r="Q65" i="15"/>
  <c r="P64" i="15"/>
  <c r="M64" i="15"/>
  <c r="Q63" i="15"/>
  <c r="U62" i="15"/>
  <c r="M62" i="15"/>
  <c r="U60" i="15"/>
  <c r="P60" i="15"/>
  <c r="M60" i="15"/>
  <c r="W55" i="15"/>
  <c r="V55" i="15"/>
  <c r="Y74" i="15"/>
  <c r="Y72" i="15"/>
  <c r="Y70" i="15"/>
  <c r="X25" i="15"/>
  <c r="X73" i="15" s="1"/>
  <c r="X26" i="15"/>
  <c r="X55" i="15"/>
  <c r="X154" i="15"/>
  <c r="AC94" i="15"/>
  <c r="Z125" i="26" l="1"/>
  <c r="AA125" i="26" s="1"/>
  <c r="AA186" i="26" s="1"/>
  <c r="N108" i="26" s="1"/>
  <c r="N110" i="26" s="1"/>
  <c r="H133" i="15"/>
  <c r="I133" i="15" s="1"/>
  <c r="H145" i="15"/>
  <c r="I145" i="15" s="1"/>
  <c r="Z191" i="15"/>
  <c r="Q139" i="15"/>
  <c r="R139" i="15" s="1"/>
  <c r="Q165" i="15"/>
  <c r="R165" i="15" s="1"/>
  <c r="Q189" i="15"/>
  <c r="R189" i="15" s="1"/>
  <c r="R188" i="15" s="1"/>
  <c r="R128" i="15"/>
  <c r="I176" i="15"/>
  <c r="R126" i="15"/>
  <c r="I144" i="15"/>
  <c r="R162" i="15"/>
  <c r="E166" i="15"/>
  <c r="Y76" i="15"/>
  <c r="G144" i="15"/>
  <c r="G142" i="15"/>
  <c r="G140" i="15"/>
  <c r="G132" i="15"/>
  <c r="Y62" i="15"/>
  <c r="Q127" i="15"/>
  <c r="R127" i="15" s="1"/>
  <c r="E128" i="15"/>
  <c r="R138" i="15"/>
  <c r="Q163" i="15"/>
  <c r="R163" i="15" s="1"/>
  <c r="U163" i="15"/>
  <c r="U165" i="15"/>
  <c r="E168" i="15"/>
  <c r="Z193" i="15"/>
  <c r="I172" i="26"/>
  <c r="I140" i="26"/>
  <c r="I128" i="26"/>
  <c r="Q182" i="26"/>
  <c r="Q174" i="26"/>
  <c r="Q122" i="26"/>
  <c r="Q158" i="26"/>
  <c r="Q156" i="26"/>
  <c r="Q124" i="26"/>
  <c r="Q136" i="26"/>
  <c r="AA90" i="26"/>
  <c r="Q27" i="26"/>
  <c r="AA64" i="26"/>
  <c r="AA42" i="26"/>
  <c r="AC70" i="26"/>
  <c r="AA70" i="26"/>
  <c r="AC40" i="26"/>
  <c r="AA40" i="26"/>
  <c r="AC60" i="26"/>
  <c r="AA60" i="26"/>
  <c r="AC46" i="26"/>
  <c r="AA46" i="26"/>
  <c r="AC82" i="26"/>
  <c r="AA82" i="26"/>
  <c r="AC66" i="26"/>
  <c r="AA66" i="26"/>
  <c r="AC88" i="26"/>
  <c r="AA88" i="26"/>
  <c r="AA28" i="26"/>
  <c r="AC28" i="26"/>
  <c r="AC32" i="26"/>
  <c r="AA32" i="26"/>
  <c r="AC78" i="26"/>
  <c r="AA34" i="26"/>
  <c r="AC34" i="26"/>
  <c r="I77" i="26"/>
  <c r="I45" i="26"/>
  <c r="I33" i="26"/>
  <c r="AC86" i="26"/>
  <c r="AA86" i="26"/>
  <c r="AA68" i="26"/>
  <c r="AC68" i="26"/>
  <c r="AA36" i="26"/>
  <c r="AC36" i="26"/>
  <c r="W63" i="26"/>
  <c r="W29" i="26"/>
  <c r="W30" i="26" s="1"/>
  <c r="W35" i="26"/>
  <c r="Z189" i="15"/>
  <c r="G188" i="15"/>
  <c r="R164" i="15"/>
  <c r="G89" i="15"/>
  <c r="S50" i="15"/>
  <c r="Y50" i="15" s="1"/>
  <c r="S48" i="15"/>
  <c r="Y48" i="15" s="1"/>
  <c r="L47" i="15"/>
  <c r="L26" i="15" s="1"/>
  <c r="W46" i="15"/>
  <c r="V46" i="15"/>
  <c r="S46" i="15"/>
  <c r="P46" i="15"/>
  <c r="F46" i="15"/>
  <c r="G46" i="15" s="1"/>
  <c r="O44" i="15"/>
  <c r="F42" i="15"/>
  <c r="G42" i="15" s="1"/>
  <c r="Y42" i="15" s="1"/>
  <c r="V40" i="15"/>
  <c r="P40" i="15"/>
  <c r="Q39" i="15"/>
  <c r="V38" i="15"/>
  <c r="Y36" i="15"/>
  <c r="N35" i="15"/>
  <c r="W34" i="15"/>
  <c r="F34" i="15"/>
  <c r="G34" i="15" s="1"/>
  <c r="V32" i="15"/>
  <c r="U32" i="15"/>
  <c r="P32" i="15"/>
  <c r="M32" i="15"/>
  <c r="V30" i="15"/>
  <c r="U30" i="15"/>
  <c r="P30" i="15"/>
  <c r="O30" i="15"/>
  <c r="F30" i="15"/>
  <c r="G30" i="15" s="1"/>
  <c r="D30" i="15"/>
  <c r="E30" i="15" s="1"/>
  <c r="Q29" i="15"/>
  <c r="Q27" i="15"/>
  <c r="T26" i="15"/>
  <c r="N26" i="15"/>
  <c r="K26" i="15"/>
  <c r="G26" i="15"/>
  <c r="E26" i="15"/>
  <c r="W25" i="15"/>
  <c r="V25" i="15"/>
  <c r="U25" i="15"/>
  <c r="T25" i="15"/>
  <c r="T71" i="15" s="1"/>
  <c r="S25" i="15"/>
  <c r="R25" i="15"/>
  <c r="Q25" i="15"/>
  <c r="Q64" i="15" s="1"/>
  <c r="R64" i="15" s="1"/>
  <c r="O25" i="15"/>
  <c r="N25" i="15"/>
  <c r="M25" i="15"/>
  <c r="L25" i="15"/>
  <c r="K25" i="15"/>
  <c r="I25" i="15"/>
  <c r="H25" i="15"/>
  <c r="G25" i="15"/>
  <c r="E25" i="15"/>
  <c r="U90" i="15" s="1"/>
  <c r="D25" i="15"/>
  <c r="Q66" i="15" l="1"/>
  <c r="R66" i="15" s="1"/>
  <c r="Y38" i="15"/>
  <c r="E85" i="15"/>
  <c r="E69" i="15"/>
  <c r="Y32" i="15"/>
  <c r="Y92" i="15"/>
  <c r="Q90" i="15"/>
  <c r="R90" i="15" s="1"/>
  <c r="Y84" i="15"/>
  <c r="Y60" i="15"/>
  <c r="U82" i="15"/>
  <c r="U66" i="15"/>
  <c r="Y66" i="15" s="1"/>
  <c r="U64" i="15"/>
  <c r="Y64" i="15" s="1"/>
  <c r="Y78" i="15"/>
  <c r="Y68" i="15"/>
  <c r="G33" i="15"/>
  <c r="Y44" i="15"/>
  <c r="Q88" i="15"/>
  <c r="R88" i="15" s="1"/>
  <c r="Y88" i="15" s="1"/>
  <c r="AC64" i="26"/>
  <c r="AC42" i="26"/>
  <c r="AC30" i="26"/>
  <c r="AA30" i="26"/>
  <c r="AA91" i="26" s="1"/>
  <c r="O13" i="26" s="1"/>
  <c r="N15" i="26" s="1"/>
  <c r="Q30" i="15"/>
  <c r="R30" i="15" s="1"/>
  <c r="Y30" i="15" s="1"/>
  <c r="G41" i="15"/>
  <c r="G29" i="15"/>
  <c r="G45" i="15"/>
  <c r="H46" i="15"/>
  <c r="I46" i="15" s="1"/>
  <c r="Y46" i="15" s="1"/>
  <c r="Q40" i="15"/>
  <c r="R40" i="15" s="1"/>
  <c r="Y40" i="15" s="1"/>
  <c r="I26" i="15"/>
  <c r="Q28" i="15"/>
  <c r="R28" i="15" s="1"/>
  <c r="Y28" i="15" s="1"/>
  <c r="H34" i="15"/>
  <c r="I34" i="15" s="1"/>
  <c r="R26" i="15"/>
  <c r="I33" i="15"/>
  <c r="E29" i="15"/>
  <c r="Y34" i="15" l="1"/>
  <c r="I77" i="15"/>
  <c r="Y82" i="15"/>
  <c r="R63" i="15"/>
  <c r="R65" i="15"/>
  <c r="R87" i="15"/>
  <c r="R89" i="15"/>
  <c r="AB94" i="15"/>
  <c r="Z94" i="15"/>
  <c r="I45" i="15"/>
  <c r="R39" i="15"/>
  <c r="R29" i="15"/>
  <c r="R27" i="15"/>
  <c r="L124" i="19"/>
  <c r="L90" i="19"/>
  <c r="M160" i="14" l="1"/>
  <c r="M140" i="14"/>
  <c r="M136" i="14"/>
  <c r="M137" i="14" s="1"/>
  <c r="N137" i="14" s="1"/>
  <c r="E26" i="13"/>
  <c r="I125" i="13"/>
  <c r="E125" i="13"/>
  <c r="D25" i="18"/>
  <c r="E170" i="13" l="1"/>
  <c r="E130" i="13"/>
  <c r="I178" i="13"/>
  <c r="I146" i="13"/>
  <c r="M161" i="14"/>
  <c r="N161" i="14" s="1"/>
  <c r="Y161" i="14" s="1"/>
  <c r="Z121" i="16"/>
  <c r="Z26" i="16"/>
  <c r="Z33" i="16"/>
  <c r="L150" i="25"/>
  <c r="L55" i="25"/>
  <c r="L55" i="18"/>
  <c r="D25" i="13"/>
  <c r="D124" i="19"/>
  <c r="M124" i="19"/>
  <c r="R102" i="25"/>
  <c r="S108" i="25"/>
  <c r="V110" i="25"/>
  <c r="R104" i="14"/>
  <c r="S110" i="14"/>
  <c r="V112" i="14"/>
  <c r="S106" i="13"/>
  <c r="T112" i="13"/>
  <c r="W114" i="13"/>
  <c r="R106" i="19"/>
  <c r="S112" i="19"/>
  <c r="V114" i="19"/>
  <c r="I112" i="19"/>
  <c r="K112" i="19" s="1"/>
  <c r="I112" i="13"/>
  <c r="K112" i="13" s="1"/>
  <c r="H110" i="14"/>
  <c r="K110" i="14" s="1"/>
  <c r="I108" i="25"/>
  <c r="J108" i="25" s="1"/>
  <c r="H110" i="18"/>
  <c r="K110" i="18" s="1"/>
  <c r="AA194" i="18" s="1"/>
  <c r="I108" i="16"/>
  <c r="J108" i="16" s="1"/>
  <c r="I112" i="15"/>
  <c r="K112" i="15" s="1"/>
  <c r="Z196" i="15" s="1"/>
  <c r="I13" i="15"/>
  <c r="K13" i="15" s="1"/>
  <c r="W110" i="16" l="1"/>
  <c r="T108" i="16"/>
  <c r="S102" i="16"/>
  <c r="W114" i="15"/>
  <c r="T112" i="15"/>
  <c r="S106" i="15"/>
  <c r="H13" i="14"/>
  <c r="K13" i="14" s="1"/>
  <c r="V112" i="18" l="1"/>
  <c r="S110" i="18"/>
  <c r="R108" i="18"/>
  <c r="R104" i="18"/>
  <c r="D78" i="18" l="1"/>
  <c r="J124" i="13" l="1"/>
  <c r="J122" i="14"/>
  <c r="Q27" i="14"/>
  <c r="V25" i="25" l="1"/>
  <c r="V120" i="25"/>
  <c r="V25" i="14"/>
  <c r="V122" i="14"/>
  <c r="G26" i="18" l="1"/>
  <c r="K124" i="19" l="1"/>
  <c r="B123" i="25"/>
  <c r="B125" i="25"/>
  <c r="B127" i="25"/>
  <c r="B129" i="25"/>
  <c r="B131" i="25"/>
  <c r="B133" i="25"/>
  <c r="B135" i="25"/>
  <c r="B137" i="25"/>
  <c r="B139" i="25"/>
  <c r="B141" i="25"/>
  <c r="B143" i="25"/>
  <c r="AC90" i="14" l="1"/>
  <c r="K55" i="18" l="1"/>
  <c r="J55" i="18"/>
  <c r="K51" i="19" l="1"/>
  <c r="J71" i="13"/>
  <c r="N30" i="18"/>
  <c r="N30" i="16"/>
  <c r="J152" i="14" l="1"/>
  <c r="K26" i="18"/>
  <c r="K123" i="18"/>
  <c r="B177" i="19" l="1"/>
  <c r="A177" i="19"/>
  <c r="W66" i="19"/>
  <c r="D32" i="19"/>
  <c r="V48" i="19"/>
  <c r="R90" i="19"/>
  <c r="J124" i="19"/>
  <c r="J125" i="19"/>
  <c r="Z156" i="19"/>
  <c r="Y156" i="19"/>
  <c r="W156" i="19"/>
  <c r="V156" i="19"/>
  <c r="U156" i="19"/>
  <c r="T156" i="19"/>
  <c r="R156" i="19"/>
  <c r="P156" i="19"/>
  <c r="O156" i="19"/>
  <c r="N156" i="19"/>
  <c r="M156" i="19"/>
  <c r="L156" i="19"/>
  <c r="K156" i="19"/>
  <c r="J156" i="19"/>
  <c r="H156" i="19"/>
  <c r="F156" i="19"/>
  <c r="E156" i="19"/>
  <c r="D156" i="19"/>
  <c r="R57" i="19"/>
  <c r="L57" i="19"/>
  <c r="K57" i="19"/>
  <c r="J57" i="19"/>
  <c r="X166" i="19" l="1"/>
  <c r="X164" i="19"/>
  <c r="X162" i="19"/>
  <c r="X160" i="19"/>
  <c r="X136" i="19"/>
  <c r="X132" i="19"/>
  <c r="D88" i="19"/>
  <c r="E88" i="19" s="1"/>
  <c r="R32" i="19"/>
  <c r="R82" i="19"/>
  <c r="N25" i="19"/>
  <c r="M25" i="19"/>
  <c r="M68" i="19"/>
  <c r="M66" i="19"/>
  <c r="M34" i="19"/>
  <c r="M62" i="19"/>
  <c r="P83" i="19"/>
  <c r="P31" i="19"/>
  <c r="P65" i="19"/>
  <c r="P41" i="19"/>
  <c r="P39" i="19"/>
  <c r="P27" i="19"/>
  <c r="W44" i="19"/>
  <c r="W57" i="19"/>
  <c r="W38" i="19"/>
  <c r="K26" i="19"/>
  <c r="J25" i="19"/>
  <c r="J26" i="19"/>
  <c r="J71" i="19"/>
  <c r="R25" i="19"/>
  <c r="E78" i="18"/>
  <c r="V44" i="13"/>
  <c r="N30" i="19" l="1"/>
  <c r="O26" i="19"/>
  <c r="O30" i="19"/>
  <c r="X66" i="19"/>
  <c r="X44" i="19"/>
  <c r="AA44" i="19" s="1"/>
  <c r="AD44" i="19" s="1"/>
  <c r="AA92" i="13"/>
  <c r="W44" i="13"/>
  <c r="AA44" i="13" s="1"/>
  <c r="M124" i="13"/>
  <c r="V156" i="13"/>
  <c r="M156" i="13"/>
  <c r="L156" i="13"/>
  <c r="K156" i="13"/>
  <c r="J156" i="13"/>
  <c r="J125" i="13"/>
  <c r="M62" i="13"/>
  <c r="M66" i="13"/>
  <c r="M68" i="13"/>
  <c r="M70" i="13"/>
  <c r="AA70" i="13" s="1"/>
  <c r="AA78" i="13"/>
  <c r="AA88" i="13"/>
  <c r="M90" i="13"/>
  <c r="AA90" i="13" s="1"/>
  <c r="M34" i="13"/>
  <c r="Q71" i="13"/>
  <c r="Q41" i="13"/>
  <c r="Q35" i="13"/>
  <c r="Q27" i="13"/>
  <c r="K57" i="13"/>
  <c r="J57" i="13"/>
  <c r="K45" i="13"/>
  <c r="K26" i="13"/>
  <c r="D57" i="13"/>
  <c r="L57" i="13"/>
  <c r="M25" i="13"/>
  <c r="J26" i="13"/>
  <c r="J25" i="13"/>
  <c r="O29" i="19" l="1"/>
  <c r="U92" i="14"/>
  <c r="P92" i="14"/>
  <c r="O92" i="14"/>
  <c r="F92" i="14"/>
  <c r="G92" i="14" s="1"/>
  <c r="O80" i="14"/>
  <c r="U122" i="14"/>
  <c r="J55" i="14"/>
  <c r="U25" i="14"/>
  <c r="V26" i="14" s="1"/>
  <c r="U37" i="14"/>
  <c r="M152" i="14"/>
  <c r="B185" i="14"/>
  <c r="B183" i="14"/>
  <c r="A185" i="14"/>
  <c r="A183" i="14"/>
  <c r="AD88" i="14"/>
  <c r="AD86" i="14"/>
  <c r="F42" i="14"/>
  <c r="G42" i="14" s="1"/>
  <c r="U29" i="14"/>
  <c r="U33" i="14"/>
  <c r="U39" i="14"/>
  <c r="J25" i="14"/>
  <c r="S46" i="25"/>
  <c r="Y121" i="25"/>
  <c r="Y26" i="25"/>
  <c r="U120" i="25"/>
  <c r="V121" i="25" s="1"/>
  <c r="S120" i="25"/>
  <c r="D150" i="25"/>
  <c r="D55" i="25"/>
  <c r="E120" i="25"/>
  <c r="D120" i="25"/>
  <c r="D25" i="25"/>
  <c r="E26" i="25" s="1"/>
  <c r="K55" i="25"/>
  <c r="K148" i="25"/>
  <c r="K150" i="25"/>
  <c r="U150" i="25"/>
  <c r="W55" i="25"/>
  <c r="V55" i="25"/>
  <c r="S40" i="25"/>
  <c r="S32" i="25"/>
  <c r="S64" i="25"/>
  <c r="S66" i="25"/>
  <c r="S82" i="25"/>
  <c r="S88" i="25"/>
  <c r="S60" i="25"/>
  <c r="P39" i="25"/>
  <c r="P87" i="25"/>
  <c r="P33" i="25"/>
  <c r="P63" i="25"/>
  <c r="P69" i="25"/>
  <c r="P31" i="25"/>
  <c r="P27" i="25"/>
  <c r="M55" i="25"/>
  <c r="N43" i="25"/>
  <c r="W30" i="25"/>
  <c r="U25" i="25"/>
  <c r="J150" i="25"/>
  <c r="J55" i="25"/>
  <c r="J69" i="25"/>
  <c r="J121" i="25"/>
  <c r="J26" i="25"/>
  <c r="H25" i="25"/>
  <c r="I25" i="25"/>
  <c r="H55" i="25"/>
  <c r="H84" i="25"/>
  <c r="H120" i="25"/>
  <c r="H150" i="25"/>
  <c r="W86" i="16"/>
  <c r="A181" i="16"/>
  <c r="V128" i="25" l="1"/>
  <c r="V182" i="25"/>
  <c r="V124" i="25"/>
  <c r="V132" i="25"/>
  <c r="V123" i="14"/>
  <c r="V134" i="14" s="1"/>
  <c r="U131" i="14"/>
  <c r="V131" i="14" s="1"/>
  <c r="U137" i="14"/>
  <c r="V137" i="14" s="1"/>
  <c r="U135" i="14"/>
  <c r="V135" i="14" s="1"/>
  <c r="U127" i="14"/>
  <c r="V127" i="14" s="1"/>
  <c r="D30" i="25"/>
  <c r="E30" i="25" s="1"/>
  <c r="E121" i="25"/>
  <c r="U38" i="25"/>
  <c r="Z183" i="14"/>
  <c r="Z185" i="14"/>
  <c r="U30" i="14"/>
  <c r="V30" i="14" s="1"/>
  <c r="U34" i="14"/>
  <c r="V34" i="14" s="1"/>
  <c r="U38" i="14"/>
  <c r="V38" i="14" s="1"/>
  <c r="U40" i="14"/>
  <c r="V40" i="14" s="1"/>
  <c r="H34" i="25"/>
  <c r="I26" i="25"/>
  <c r="H46" i="25"/>
  <c r="D70" i="25"/>
  <c r="E70" i="25" s="1"/>
  <c r="V26" i="25"/>
  <c r="V87" i="25" s="1"/>
  <c r="V38" i="25"/>
  <c r="U88" i="25"/>
  <c r="V88" i="25" s="1"/>
  <c r="U30" i="25"/>
  <c r="V30" i="25" s="1"/>
  <c r="X86" i="16"/>
  <c r="V130" i="14" l="1"/>
  <c r="V136" i="14"/>
  <c r="E164" i="25"/>
  <c r="E124" i="25"/>
  <c r="V126" i="14"/>
  <c r="AC86" i="14"/>
  <c r="Z88" i="14"/>
  <c r="AC88" i="14"/>
  <c r="V37" i="25"/>
  <c r="V29" i="25"/>
  <c r="Z86" i="14"/>
  <c r="E69" i="25"/>
  <c r="E29" i="25"/>
  <c r="D55" i="16" l="1"/>
  <c r="W44" i="18"/>
  <c r="W48" i="18"/>
  <c r="N64" i="18"/>
  <c r="M68" i="18"/>
  <c r="K69" i="18"/>
  <c r="D70" i="18"/>
  <c r="E70" i="18" s="1"/>
  <c r="H82" i="18"/>
  <c r="I82" i="18" s="1"/>
  <c r="T55" i="18"/>
  <c r="S55" i="18"/>
  <c r="Z76" i="18" l="1"/>
  <c r="N38" i="18" l="1"/>
  <c r="M25" i="18"/>
  <c r="H25" i="18"/>
  <c r="I26" i="18" s="1"/>
  <c r="I25" i="18"/>
  <c r="H13" i="18"/>
  <c r="H55" i="18"/>
  <c r="H122" i="18"/>
  <c r="I123" i="18" s="1"/>
  <c r="I122" i="18"/>
  <c r="Z72" i="18"/>
  <c r="Z74" i="18"/>
  <c r="I130" i="18" l="1"/>
  <c r="I142" i="18"/>
  <c r="I178" i="18"/>
  <c r="S32" i="16"/>
  <c r="S40" i="16"/>
  <c r="S46" i="16"/>
  <c r="S62" i="16"/>
  <c r="S64" i="16"/>
  <c r="S66" i="16"/>
  <c r="S82" i="16"/>
  <c r="S55" i="16"/>
  <c r="O121" i="16"/>
  <c r="Y120" i="16" l="1"/>
  <c r="L150" i="16"/>
  <c r="Y150" i="16"/>
  <c r="Y55" i="16"/>
  <c r="S88" i="16"/>
  <c r="S60" i="16"/>
  <c r="S30" i="16"/>
  <c r="P38" i="16"/>
  <c r="Y30" i="16"/>
  <c r="W42" i="16"/>
  <c r="O26" i="16"/>
  <c r="O41" i="16"/>
  <c r="W38" i="16"/>
  <c r="V55" i="16"/>
  <c r="V150" i="16"/>
  <c r="R120" i="16"/>
  <c r="R150" i="16"/>
  <c r="M55" i="16"/>
  <c r="M120" i="16"/>
  <c r="M150" i="16"/>
  <c r="X42" i="16" l="1"/>
  <c r="A137" i="15" l="1"/>
  <c r="A127" i="15"/>
  <c r="M154" i="15"/>
  <c r="M55" i="15"/>
  <c r="A103" i="19" l="1"/>
  <c r="H80" i="19"/>
  <c r="A141" i="14"/>
  <c r="B127" i="18"/>
  <c r="B129" i="13"/>
  <c r="A129" i="13"/>
  <c r="AD90" i="14" l="1"/>
  <c r="J55" i="16" l="1"/>
  <c r="J150" i="16"/>
  <c r="L120" i="16" l="1"/>
  <c r="L55" i="16"/>
  <c r="AC90" i="16"/>
  <c r="AC74" i="16"/>
  <c r="AC72" i="16"/>
  <c r="AC50" i="16"/>
  <c r="L25" i="16"/>
  <c r="B189" i="14" l="1"/>
  <c r="A189" i="14"/>
  <c r="B187" i="14"/>
  <c r="A187" i="14"/>
  <c r="B181" i="14"/>
  <c r="A181" i="14"/>
  <c r="B179" i="14"/>
  <c r="A179" i="14"/>
  <c r="Z187" i="14" l="1"/>
  <c r="Z179" i="14"/>
  <c r="Z78" i="18" l="1"/>
  <c r="Z90" i="14" l="1"/>
  <c r="E55" i="19"/>
  <c r="D57" i="19"/>
  <c r="AA74" i="19" l="1"/>
  <c r="A103" i="13"/>
  <c r="AD74" i="19" l="1"/>
  <c r="B183" i="13"/>
  <c r="A183" i="13"/>
  <c r="D124" i="13"/>
  <c r="Z57" i="13"/>
  <c r="Z156" i="13"/>
  <c r="D156" i="13"/>
  <c r="E154" i="13"/>
  <c r="E31" i="13"/>
  <c r="D72" i="13"/>
  <c r="E72" i="13" s="1"/>
  <c r="D32" i="13"/>
  <c r="F36" i="13"/>
  <c r="G36" i="13" s="1"/>
  <c r="N122" i="14"/>
  <c r="L122" i="14"/>
  <c r="E150" i="14"/>
  <c r="D152" i="14"/>
  <c r="F152" i="14"/>
  <c r="H152" i="14"/>
  <c r="L152" i="14"/>
  <c r="N152" i="14"/>
  <c r="O152" i="14"/>
  <c r="P152" i="14"/>
  <c r="Q152" i="14"/>
  <c r="S152" i="14"/>
  <c r="U152" i="14"/>
  <c r="V152" i="14"/>
  <c r="W152" i="14"/>
  <c r="X152" i="14"/>
  <c r="N123" i="14" l="1"/>
  <c r="M189" i="14"/>
  <c r="N189" i="14" s="1"/>
  <c r="M141" i="14"/>
  <c r="N141" i="14" s="1"/>
  <c r="E71" i="13"/>
  <c r="N188" i="14" l="1"/>
  <c r="N160" i="14"/>
  <c r="N140" i="14"/>
  <c r="N136" i="14"/>
  <c r="E53" i="14"/>
  <c r="L121" i="25" l="1"/>
  <c r="M120" i="25"/>
  <c r="L120" i="25"/>
  <c r="W150" i="25"/>
  <c r="S150" i="25"/>
  <c r="M150" i="25"/>
  <c r="E148" i="25"/>
  <c r="Z74" i="25"/>
  <c r="Z72" i="25"/>
  <c r="Z50" i="25"/>
  <c r="Z86" i="25"/>
  <c r="V53" i="25"/>
  <c r="V114" i="25"/>
  <c r="V148" i="25" s="1"/>
  <c r="V150" i="25"/>
  <c r="L53" i="25"/>
  <c r="L114" i="25" s="1"/>
  <c r="L148" i="25" s="1"/>
  <c r="E53" i="25"/>
  <c r="S55" i="25"/>
  <c r="Z68" i="25"/>
  <c r="F36" i="25"/>
  <c r="F46" i="25"/>
  <c r="G46" i="25" s="1"/>
  <c r="S25" i="25"/>
  <c r="L49" i="25"/>
  <c r="L26" i="25"/>
  <c r="M25" i="25"/>
  <c r="A99" i="25"/>
  <c r="U53" i="18"/>
  <c r="E53" i="18"/>
  <c r="E53" i="16"/>
  <c r="E148" i="16"/>
  <c r="D150" i="16"/>
  <c r="D55" i="15"/>
  <c r="Z44" i="25" l="1"/>
  <c r="G36" i="25"/>
  <c r="Z36" i="25" s="1"/>
  <c r="F30" i="25"/>
  <c r="G30" i="25" s="1"/>
  <c r="Y123" i="18" l="1"/>
  <c r="V123" i="18"/>
  <c r="S123" i="18"/>
  <c r="G123" i="18"/>
  <c r="E123" i="18"/>
  <c r="E126" i="18" s="1"/>
  <c r="Y122" i="18"/>
  <c r="Y170" i="18" s="1"/>
  <c r="X122" i="18"/>
  <c r="W122" i="18"/>
  <c r="V122" i="18"/>
  <c r="U122" i="18"/>
  <c r="S122" i="18"/>
  <c r="S168" i="18" s="1"/>
  <c r="R122" i="18"/>
  <c r="Q122" i="18"/>
  <c r="P122" i="18"/>
  <c r="N122" i="18"/>
  <c r="M122" i="18"/>
  <c r="L122" i="18"/>
  <c r="K122" i="18"/>
  <c r="G122" i="18"/>
  <c r="E122" i="18"/>
  <c r="Q187" i="18" s="1"/>
  <c r="AA187" i="18" s="1"/>
  <c r="D122" i="18"/>
  <c r="D55" i="18"/>
  <c r="W55" i="18"/>
  <c r="P55" i="18"/>
  <c r="O55" i="18"/>
  <c r="N44" i="18"/>
  <c r="U44" i="18"/>
  <c r="U30" i="18"/>
  <c r="U40" i="18"/>
  <c r="O90" i="18"/>
  <c r="O42" i="18"/>
  <c r="G126" i="18" l="1"/>
  <c r="G132" i="18"/>
  <c r="G130" i="18"/>
  <c r="G142" i="18"/>
  <c r="V142" i="18"/>
  <c r="V134" i="18"/>
  <c r="V144" i="18"/>
  <c r="V140" i="18"/>
  <c r="V136" i="18"/>
  <c r="V126" i="18"/>
  <c r="E166" i="18"/>
  <c r="E174" i="18"/>
  <c r="AA181" i="18"/>
  <c r="AA161" i="18"/>
  <c r="G186" i="18"/>
  <c r="V176" i="18"/>
  <c r="V190" i="18"/>
  <c r="V44" i="18"/>
  <c r="V30" i="18"/>
  <c r="V40" i="18"/>
  <c r="F46" i="18" l="1"/>
  <c r="F36" i="18"/>
  <c r="F30" i="18"/>
  <c r="Q26" i="18"/>
  <c r="Q25" i="18"/>
  <c r="P25" i="18"/>
  <c r="W25" i="18"/>
  <c r="G46" i="18" l="1"/>
  <c r="G36" i="18"/>
  <c r="G30" i="18"/>
  <c r="J121" i="16"/>
  <c r="X121" i="16"/>
  <c r="X120" i="16"/>
  <c r="W120" i="16"/>
  <c r="S120" i="16"/>
  <c r="N46" i="16"/>
  <c r="W25" i="16"/>
  <c r="X55" i="16"/>
  <c r="X140" i="16" l="1"/>
  <c r="X180" i="16"/>
  <c r="X130" i="16"/>
  <c r="X126" i="16"/>
  <c r="X136" i="16"/>
  <c r="X134" i="16"/>
  <c r="X132" i="16"/>
  <c r="Z44" i="18"/>
  <c r="W46" i="16" l="1"/>
  <c r="W40" i="16"/>
  <c r="W36" i="16"/>
  <c r="X25" i="16"/>
  <c r="X26" i="16"/>
  <c r="X85" i="16" s="1"/>
  <c r="F34" i="16"/>
  <c r="G34" i="16" s="1"/>
  <c r="J69" i="16"/>
  <c r="J26" i="16"/>
  <c r="S25" i="16"/>
  <c r="X41" i="16" l="1"/>
  <c r="X37" i="16"/>
  <c r="X45" i="16"/>
  <c r="X39" i="16"/>
  <c r="X46" i="16"/>
  <c r="X35" i="16"/>
  <c r="A99" i="16" l="1"/>
  <c r="B185" i="25" l="1"/>
  <c r="A185" i="25"/>
  <c r="B183" i="25"/>
  <c r="A183" i="25"/>
  <c r="B181" i="25"/>
  <c r="A181" i="25"/>
  <c r="B179" i="25"/>
  <c r="A179" i="25"/>
  <c r="B177" i="25"/>
  <c r="A177" i="25"/>
  <c r="B175" i="25"/>
  <c r="A175" i="25"/>
  <c r="B173" i="25"/>
  <c r="A173" i="25"/>
  <c r="B171" i="25"/>
  <c r="A171" i="25"/>
  <c r="B169" i="25"/>
  <c r="A169" i="25"/>
  <c r="B167" i="25"/>
  <c r="A167" i="25"/>
  <c r="B165" i="25"/>
  <c r="A165" i="25"/>
  <c r="B163" i="25"/>
  <c r="A163" i="25"/>
  <c r="B161" i="25"/>
  <c r="A161" i="25"/>
  <c r="B159" i="25"/>
  <c r="A159" i="25"/>
  <c r="B157" i="25"/>
  <c r="A157" i="25"/>
  <c r="B155" i="25"/>
  <c r="A155" i="25"/>
  <c r="Y150" i="25"/>
  <c r="X150" i="25"/>
  <c r="T150" i="25"/>
  <c r="R150" i="25"/>
  <c r="P150" i="25"/>
  <c r="O150" i="25"/>
  <c r="N150" i="25"/>
  <c r="F150" i="25"/>
  <c r="E150" i="25"/>
  <c r="A145" i="25"/>
  <c r="A143" i="25"/>
  <c r="A141" i="25"/>
  <c r="A137" i="25"/>
  <c r="A135" i="25"/>
  <c r="A133" i="25"/>
  <c r="A129" i="25"/>
  <c r="A127" i="25"/>
  <c r="A125" i="25"/>
  <c r="A123" i="25"/>
  <c r="T121" i="25"/>
  <c r="G121" i="25"/>
  <c r="Y120" i="25"/>
  <c r="Y168" i="25" s="1"/>
  <c r="X120" i="25"/>
  <c r="T120" i="25"/>
  <c r="T166" i="25" s="1"/>
  <c r="R120" i="25"/>
  <c r="Q120" i="25"/>
  <c r="P120" i="25"/>
  <c r="O120" i="25"/>
  <c r="N120" i="25"/>
  <c r="J120" i="25"/>
  <c r="I120" i="25"/>
  <c r="G120" i="25"/>
  <c r="S125" i="25" s="1"/>
  <c r="Z125" i="25" s="1"/>
  <c r="AE90" i="25"/>
  <c r="Z90" i="25"/>
  <c r="AE88" i="25"/>
  <c r="O88" i="25"/>
  <c r="F88" i="25"/>
  <c r="G88" i="25" s="1"/>
  <c r="AE86" i="25"/>
  <c r="AA86" i="25"/>
  <c r="AE84" i="25"/>
  <c r="I84" i="25"/>
  <c r="AE82" i="25"/>
  <c r="O82" i="25"/>
  <c r="AE80" i="25"/>
  <c r="AE78" i="25"/>
  <c r="AE76" i="25"/>
  <c r="AE74" i="25"/>
  <c r="AA74" i="25"/>
  <c r="AE72" i="25"/>
  <c r="AD72" i="25"/>
  <c r="AE70" i="25"/>
  <c r="AE68" i="25"/>
  <c r="AA68" i="25"/>
  <c r="AE66" i="25"/>
  <c r="O66" i="25"/>
  <c r="AE64" i="25"/>
  <c r="O64" i="25"/>
  <c r="AE62" i="25"/>
  <c r="AE60" i="25"/>
  <c r="O60" i="25"/>
  <c r="Y55" i="25"/>
  <c r="X55" i="25"/>
  <c r="T55" i="25"/>
  <c r="R55" i="25"/>
  <c r="P55" i="25"/>
  <c r="O55" i="25"/>
  <c r="N55" i="25"/>
  <c r="F55" i="25"/>
  <c r="E55" i="25"/>
  <c r="AE50" i="25"/>
  <c r="AD50" i="25"/>
  <c r="AE48" i="25"/>
  <c r="R48" i="25"/>
  <c r="Z48" i="25" s="1"/>
  <c r="AE46" i="25"/>
  <c r="R46" i="25"/>
  <c r="AE44" i="25"/>
  <c r="AE42" i="25"/>
  <c r="Z42" i="25"/>
  <c r="AE40" i="25"/>
  <c r="AE38" i="25"/>
  <c r="AE36" i="25"/>
  <c r="AE34" i="25"/>
  <c r="F34" i="25"/>
  <c r="G34" i="25" s="1"/>
  <c r="AE32" i="25"/>
  <c r="O32" i="25"/>
  <c r="AE30" i="25"/>
  <c r="O30" i="25"/>
  <c r="AE28" i="25"/>
  <c r="T26" i="25"/>
  <c r="G26" i="25"/>
  <c r="Y25" i="25"/>
  <c r="Y73" i="25" s="1"/>
  <c r="X25" i="25"/>
  <c r="T25" i="25"/>
  <c r="T71" i="25" s="1"/>
  <c r="R25" i="25"/>
  <c r="Q25" i="25"/>
  <c r="P25" i="25"/>
  <c r="O25" i="25"/>
  <c r="N25" i="25"/>
  <c r="L25" i="25"/>
  <c r="J25" i="25"/>
  <c r="G25" i="25"/>
  <c r="E25" i="25"/>
  <c r="I13" i="25"/>
  <c r="J13" i="25" s="1"/>
  <c r="AA93" i="25" s="1"/>
  <c r="G182" i="25" l="1"/>
  <c r="I178" i="25"/>
  <c r="G140" i="25"/>
  <c r="G128" i="25"/>
  <c r="G124" i="25"/>
  <c r="G130" i="25"/>
  <c r="AA177" i="25"/>
  <c r="AA133" i="25"/>
  <c r="AA127" i="25"/>
  <c r="AA135" i="25"/>
  <c r="AA123" i="25"/>
  <c r="AA165" i="25"/>
  <c r="AA159" i="25"/>
  <c r="AA183" i="25"/>
  <c r="Z38" i="25"/>
  <c r="P40" i="25"/>
  <c r="Q40" i="25" s="1"/>
  <c r="AA188" i="25"/>
  <c r="AA179" i="25"/>
  <c r="AA173" i="25"/>
  <c r="AA161" i="25"/>
  <c r="Z80" i="25"/>
  <c r="AA80" i="25" s="1"/>
  <c r="Z76" i="25"/>
  <c r="AA76" i="25" s="1"/>
  <c r="Z60" i="25"/>
  <c r="AD60" i="25" s="1"/>
  <c r="Z62" i="25"/>
  <c r="AD62" i="25" s="1"/>
  <c r="AA139" i="25"/>
  <c r="Z84" i="25"/>
  <c r="I46" i="25"/>
  <c r="I34" i="25"/>
  <c r="Z82" i="25"/>
  <c r="Z66" i="25"/>
  <c r="AA131" i="25"/>
  <c r="AA157" i="25"/>
  <c r="AA163" i="25"/>
  <c r="AA167" i="25"/>
  <c r="AA169" i="25"/>
  <c r="AA171" i="25"/>
  <c r="G35" i="25"/>
  <c r="G45" i="25"/>
  <c r="G29" i="25"/>
  <c r="AA48" i="25"/>
  <c r="AA42" i="25"/>
  <c r="AA50" i="25"/>
  <c r="AA72" i="25"/>
  <c r="P34" i="25"/>
  <c r="Q34" i="25" s="1"/>
  <c r="Z78" i="25"/>
  <c r="AA155" i="25"/>
  <c r="AA181" i="25"/>
  <c r="AA185" i="25"/>
  <c r="Q26" i="25"/>
  <c r="Q33" i="25" s="1"/>
  <c r="P28" i="25"/>
  <c r="Q28" i="25" s="1"/>
  <c r="Z28" i="25" s="1"/>
  <c r="AD36" i="25"/>
  <c r="AD86" i="25"/>
  <c r="AA143" i="25"/>
  <c r="AA145" i="25"/>
  <c r="AA137" i="25"/>
  <c r="AA175" i="25"/>
  <c r="AD44" i="25"/>
  <c r="AA44" i="25"/>
  <c r="AA90" i="25"/>
  <c r="AD90" i="25"/>
  <c r="AA36" i="25"/>
  <c r="G87" i="25"/>
  <c r="I83" i="25"/>
  <c r="G33" i="25"/>
  <c r="P32" i="25"/>
  <c r="AD48" i="25"/>
  <c r="P64" i="25"/>
  <c r="Q64" i="25" s="1"/>
  <c r="Z64" i="25" s="1"/>
  <c r="AD68" i="25"/>
  <c r="P70" i="25"/>
  <c r="Q70" i="25" s="1"/>
  <c r="Z70" i="25" s="1"/>
  <c r="AD74" i="25"/>
  <c r="P88" i="25"/>
  <c r="Q88" i="25" s="1"/>
  <c r="Z88" i="25" s="1"/>
  <c r="I121" i="25"/>
  <c r="Q121" i="25"/>
  <c r="A161" i="15"/>
  <c r="I140" i="25" l="1"/>
  <c r="I128" i="25"/>
  <c r="Q128" i="25"/>
  <c r="Q182" i="25"/>
  <c r="Q164" i="25"/>
  <c r="Q158" i="25"/>
  <c r="Q126" i="25"/>
  <c r="Q122" i="25"/>
  <c r="Q134" i="25"/>
  <c r="Q87" i="25"/>
  <c r="AA62" i="25"/>
  <c r="Q31" i="25"/>
  <c r="Q39" i="25"/>
  <c r="Z40" i="25"/>
  <c r="AA40" i="25" s="1"/>
  <c r="Q27" i="25"/>
  <c r="Q32" i="25"/>
  <c r="Z32" i="25" s="1"/>
  <c r="AD32" i="25" s="1"/>
  <c r="AD76" i="25"/>
  <c r="Z30" i="25"/>
  <c r="AA30" i="25" s="1"/>
  <c r="AA141" i="25"/>
  <c r="AA129" i="25"/>
  <c r="Z46" i="25"/>
  <c r="AA46" i="25" s="1"/>
  <c r="AD84" i="25"/>
  <c r="AA84" i="25"/>
  <c r="Q63" i="25"/>
  <c r="Q69" i="25"/>
  <c r="AA60" i="25"/>
  <c r="AD80" i="25"/>
  <c r="AD42" i="25"/>
  <c r="AD78" i="25"/>
  <c r="AD38" i="25"/>
  <c r="AD28" i="25"/>
  <c r="I33" i="25"/>
  <c r="I45" i="25"/>
  <c r="AD66" i="25"/>
  <c r="AA66" i="25"/>
  <c r="AD88" i="25"/>
  <c r="AA88" i="25"/>
  <c r="AA70" i="25"/>
  <c r="AD70" i="25"/>
  <c r="AA64" i="25"/>
  <c r="AD64" i="25"/>
  <c r="AA38" i="25"/>
  <c r="AA125" i="25"/>
  <c r="AD82" i="25"/>
  <c r="AA82" i="25"/>
  <c r="B181" i="15"/>
  <c r="B161" i="15"/>
  <c r="B149" i="15"/>
  <c r="B147" i="15"/>
  <c r="B145" i="15"/>
  <c r="B143" i="15"/>
  <c r="B141" i="15"/>
  <c r="B139" i="15"/>
  <c r="B135" i="15"/>
  <c r="B133" i="15"/>
  <c r="B131" i="15"/>
  <c r="B129" i="15"/>
  <c r="B127" i="15"/>
  <c r="AD40" i="25" l="1"/>
  <c r="AA32" i="25"/>
  <c r="AD46" i="25"/>
  <c r="AA186" i="25"/>
  <c r="O108" i="25" s="1"/>
  <c r="N110" i="25" s="1"/>
  <c r="AA78" i="25"/>
  <c r="AD34" i="25"/>
  <c r="AA28" i="25"/>
  <c r="AA34" i="25"/>
  <c r="AD30" i="25"/>
  <c r="AA91" i="25" l="1"/>
  <c r="O13" i="25" s="1"/>
  <c r="N15" i="25" s="1"/>
  <c r="O84" i="13"/>
  <c r="AA84" i="13" s="1"/>
  <c r="O34" i="13"/>
  <c r="E123" i="14"/>
  <c r="D30" i="18"/>
  <c r="E30" i="18" s="1"/>
  <c r="E26" i="18"/>
  <c r="E25" i="18"/>
  <c r="Q90" i="18" s="1"/>
  <c r="E164" i="14" l="1"/>
  <c r="E126" i="14"/>
  <c r="E69" i="18"/>
  <c r="E77" i="18"/>
  <c r="I81" i="18"/>
  <c r="I33" i="18"/>
  <c r="I45" i="18"/>
  <c r="H46" i="18"/>
  <c r="I46" i="18" s="1"/>
  <c r="H34" i="18"/>
  <c r="I34" i="18" s="1"/>
  <c r="E29" i="18"/>
  <c r="B169" i="19"/>
  <c r="A169" i="19"/>
  <c r="E124" i="19"/>
  <c r="R124" i="19" s="1"/>
  <c r="D72" i="19"/>
  <c r="E125" i="19" l="1"/>
  <c r="V154" i="15"/>
  <c r="E186" i="19" l="1"/>
  <c r="E170" i="19"/>
  <c r="E130" i="19"/>
  <c r="E72" i="19"/>
  <c r="E32" i="19"/>
  <c r="D25" i="19"/>
  <c r="E26" i="19" s="1"/>
  <c r="E87" i="19" s="1"/>
  <c r="M32" i="18"/>
  <c r="D154" i="15"/>
  <c r="E31" i="19" l="1"/>
  <c r="E71" i="19"/>
  <c r="D68" i="14"/>
  <c r="E68" i="14" s="1"/>
  <c r="D30" i="14"/>
  <c r="E30" i="14" s="1"/>
  <c r="B145" i="19" l="1"/>
  <c r="B147" i="19"/>
  <c r="B149" i="19"/>
  <c r="W34" i="19"/>
  <c r="V57" i="13"/>
  <c r="X34" i="19" l="1"/>
  <c r="V124" i="13"/>
  <c r="W125" i="13"/>
  <c r="V90" i="13"/>
  <c r="W90" i="13" s="1"/>
  <c r="V40" i="13"/>
  <c r="N42" i="13"/>
  <c r="W26" i="13"/>
  <c r="W81" i="13" s="1"/>
  <c r="V25" i="13"/>
  <c r="W188" i="13" l="1"/>
  <c r="W140" i="13"/>
  <c r="W180" i="13"/>
  <c r="W138" i="13"/>
  <c r="W128" i="13"/>
  <c r="W142" i="13"/>
  <c r="W130" i="13"/>
  <c r="W146" i="13"/>
  <c r="W43" i="13"/>
  <c r="W89" i="13"/>
  <c r="W47" i="13"/>
  <c r="V48" i="13"/>
  <c r="W48" i="13" s="1"/>
  <c r="W39" i="13" l="1"/>
  <c r="W31" i="13"/>
  <c r="V32" i="13"/>
  <c r="W32" i="13" s="1"/>
  <c r="V30" i="13"/>
  <c r="W30" i="13" s="1"/>
  <c r="AA30" i="13" s="1"/>
  <c r="W29" i="13"/>
  <c r="E121" i="16" l="1"/>
  <c r="D120" i="16"/>
  <c r="D70" i="16"/>
  <c r="E70" i="16" s="1"/>
  <c r="D30" i="16"/>
  <c r="E30" i="16" s="1"/>
  <c r="E26" i="16"/>
  <c r="E29" i="16" s="1"/>
  <c r="D25" i="16"/>
  <c r="AB55" i="16"/>
  <c r="AB150" i="16"/>
  <c r="N66" i="16"/>
  <c r="G26" i="16"/>
  <c r="A103" i="15"/>
  <c r="E55" i="15"/>
  <c r="E154" i="15"/>
  <c r="H74" i="14"/>
  <c r="E124" i="16" l="1"/>
  <c r="E164" i="16"/>
  <c r="G41" i="16"/>
  <c r="G49" i="16"/>
  <c r="G33" i="16"/>
  <c r="E69" i="16"/>
  <c r="Q32" i="14"/>
  <c r="R32" i="14" s="1"/>
  <c r="D122" i="14"/>
  <c r="F88" i="16" l="1"/>
  <c r="G88" i="16" s="1"/>
  <c r="Q27" i="18" l="1"/>
  <c r="P28" i="18"/>
  <c r="Q28" i="18" s="1"/>
  <c r="Z28" i="18" s="1"/>
  <c r="Z70" i="18"/>
  <c r="F30" i="16"/>
  <c r="G30" i="16" s="1"/>
  <c r="F44" i="16"/>
  <c r="G44" i="16" s="1"/>
  <c r="F46" i="16"/>
  <c r="G46" i="16" s="1"/>
  <c r="F57" i="13" l="1"/>
  <c r="G121" i="16"/>
  <c r="G144" i="16" l="1"/>
  <c r="G182" i="16"/>
  <c r="G138" i="16"/>
  <c r="G136" i="16"/>
  <c r="G128" i="16"/>
  <c r="G124" i="16"/>
  <c r="G140" i="16"/>
  <c r="Q38" i="16"/>
  <c r="N32" i="13"/>
  <c r="F32" i="13"/>
  <c r="G32" i="13" s="1"/>
  <c r="F30" i="14"/>
  <c r="B125" i="18" l="1"/>
  <c r="B129" i="18"/>
  <c r="B131" i="18"/>
  <c r="B133" i="18"/>
  <c r="B135" i="18"/>
  <c r="B137" i="18"/>
  <c r="B139" i="18"/>
  <c r="B141" i="18"/>
  <c r="B143" i="18"/>
  <c r="B145" i="18"/>
  <c r="A123" i="16" l="1"/>
  <c r="G25" i="16" l="1"/>
  <c r="AD28" i="18" l="1"/>
  <c r="AE28" i="19"/>
  <c r="AG28" i="16"/>
  <c r="AC28" i="15"/>
  <c r="AD28" i="14"/>
  <c r="AE28" i="13"/>
  <c r="A125" i="18" l="1"/>
  <c r="A177" i="14" l="1"/>
  <c r="B177" i="14"/>
  <c r="B141" i="14"/>
  <c r="B125" i="14"/>
  <c r="U55" i="18" l="1"/>
  <c r="Z88" i="18"/>
  <c r="V26" i="18"/>
  <c r="V45" i="18" s="1"/>
  <c r="U25" i="18"/>
  <c r="U38" i="18" s="1"/>
  <c r="V38" i="18" s="1"/>
  <c r="Z38" i="18" s="1"/>
  <c r="M55" i="18"/>
  <c r="M90" i="18"/>
  <c r="V79" i="18" l="1"/>
  <c r="V47" i="18"/>
  <c r="V37" i="18"/>
  <c r="V93" i="18"/>
  <c r="V43" i="18"/>
  <c r="V29" i="18"/>
  <c r="V39" i="18"/>
  <c r="A127" i="19" l="1"/>
  <c r="X26" i="19"/>
  <c r="X38" i="19"/>
  <c r="X43" i="19" s="1"/>
  <c r="W25" i="19"/>
  <c r="T84" i="16"/>
  <c r="X65" i="19" l="1"/>
  <c r="X67" i="19"/>
  <c r="X63" i="19"/>
  <c r="X61" i="19"/>
  <c r="X33" i="19"/>
  <c r="X37" i="19"/>
  <c r="A127" i="13"/>
  <c r="O124" i="13" l="1"/>
  <c r="O48" i="13"/>
  <c r="O42" i="13"/>
  <c r="O25" i="13"/>
  <c r="Q36" i="13"/>
  <c r="R36" i="13" s="1"/>
  <c r="AA36" i="13" s="1"/>
  <c r="Q72" i="13"/>
  <c r="R72" i="13" s="1"/>
  <c r="AA72" i="13" s="1"/>
  <c r="N90" i="13"/>
  <c r="AA82" i="13"/>
  <c r="O57" i="13"/>
  <c r="O64" i="13"/>
  <c r="AA64" i="13" s="1"/>
  <c r="O66" i="13"/>
  <c r="O68" i="13"/>
  <c r="O90" i="13"/>
  <c r="O156" i="13"/>
  <c r="P57" i="13"/>
  <c r="P156" i="13"/>
  <c r="W40" i="13" l="1"/>
  <c r="AA40" i="13" s="1"/>
  <c r="E26" i="14"/>
  <c r="E67" i="14" s="1"/>
  <c r="D25" i="14"/>
  <c r="R123" i="14"/>
  <c r="R162" i="14" l="1"/>
  <c r="R124" i="14"/>
  <c r="R188" i="14"/>
  <c r="R160" i="14"/>
  <c r="R128" i="14"/>
  <c r="E29" i="14"/>
  <c r="V55" i="14" l="1"/>
  <c r="L26" i="16" l="1"/>
  <c r="L79" i="16"/>
  <c r="A175" i="16"/>
  <c r="B175" i="16"/>
  <c r="AC86" i="16"/>
  <c r="AA82" i="19" l="1"/>
  <c r="AD82" i="19" s="1"/>
  <c r="Z57" i="19"/>
  <c r="Y57" i="19"/>
  <c r="V57" i="19"/>
  <c r="T57" i="19"/>
  <c r="P57" i="19"/>
  <c r="O57" i="19"/>
  <c r="N57" i="19"/>
  <c r="M57" i="19"/>
  <c r="H57" i="19"/>
  <c r="F57" i="19"/>
  <c r="E57" i="19"/>
  <c r="Z92" i="18"/>
  <c r="AC92" i="18" s="1"/>
  <c r="R86" i="18"/>
  <c r="Z86" i="18" s="1"/>
  <c r="AC86" i="18" s="1"/>
  <c r="A181" i="15" l="1"/>
  <c r="A135" i="15"/>
  <c r="A133" i="15"/>
  <c r="A129" i="15"/>
  <c r="A125" i="14" l="1"/>
  <c r="O32" i="14" l="1"/>
  <c r="S78" i="14"/>
  <c r="G30" i="14"/>
  <c r="R125" i="13"/>
  <c r="G125" i="13"/>
  <c r="AA66" i="13"/>
  <c r="N34" i="13"/>
  <c r="AA34" i="13" s="1"/>
  <c r="N62" i="13"/>
  <c r="AA62" i="13" s="1"/>
  <c r="N68" i="13"/>
  <c r="AA68" i="13" s="1"/>
  <c r="N25" i="13"/>
  <c r="R188" i="13" l="1"/>
  <c r="R170" i="13"/>
  <c r="R132" i="13"/>
  <c r="R126" i="13"/>
  <c r="R140" i="13"/>
  <c r="R134" i="13"/>
  <c r="G188" i="13"/>
  <c r="G146" i="13"/>
  <c r="G138" i="13"/>
  <c r="G130" i="13"/>
  <c r="G136" i="13"/>
  <c r="G134" i="13"/>
  <c r="S48" i="13" l="1"/>
  <c r="P30" i="14"/>
  <c r="Y30" i="14" s="1"/>
  <c r="O30" i="14"/>
  <c r="W46" i="14"/>
  <c r="T46" i="16"/>
  <c r="X46" i="18"/>
  <c r="R46" i="18"/>
  <c r="Z30" i="18"/>
  <c r="Y48" i="19"/>
  <c r="S48" i="19"/>
  <c r="Z46" i="18" l="1"/>
  <c r="O60" i="14" l="1"/>
  <c r="S46" i="14"/>
  <c r="W88" i="16"/>
  <c r="X90" i="19" l="1"/>
  <c r="Z36" i="18"/>
  <c r="A191" i="19" l="1"/>
  <c r="B189" i="19"/>
  <c r="A189" i="19"/>
  <c r="B187" i="19"/>
  <c r="A187" i="19"/>
  <c r="B185" i="19"/>
  <c r="A185" i="19"/>
  <c r="B183" i="19"/>
  <c r="A183" i="19"/>
  <c r="B181" i="19"/>
  <c r="A181" i="19"/>
  <c r="B179" i="19"/>
  <c r="A179" i="19"/>
  <c r="B175" i="19"/>
  <c r="A175" i="19"/>
  <c r="B173" i="19"/>
  <c r="A173" i="19"/>
  <c r="B171" i="19"/>
  <c r="A171" i="19"/>
  <c r="B167" i="19"/>
  <c r="A167" i="19"/>
  <c r="B165" i="19"/>
  <c r="A165" i="19"/>
  <c r="B163" i="19"/>
  <c r="A163" i="19"/>
  <c r="B161" i="19"/>
  <c r="A161" i="19"/>
  <c r="A151" i="19"/>
  <c r="A149" i="19"/>
  <c r="A147" i="19"/>
  <c r="A145" i="19"/>
  <c r="B143" i="19"/>
  <c r="A143" i="19"/>
  <c r="B141" i="19"/>
  <c r="A141" i="19"/>
  <c r="B139" i="19"/>
  <c r="A139" i="19"/>
  <c r="B137" i="19"/>
  <c r="A137" i="19"/>
  <c r="B135" i="19"/>
  <c r="A135" i="19"/>
  <c r="B133" i="19"/>
  <c r="A133" i="19"/>
  <c r="B131" i="19"/>
  <c r="A131" i="19"/>
  <c r="B129" i="19"/>
  <c r="A129" i="19"/>
  <c r="B127" i="19"/>
  <c r="B147" i="18"/>
  <c r="A147" i="18"/>
  <c r="A145" i="18"/>
  <c r="A143" i="18"/>
  <c r="A141" i="18"/>
  <c r="A139" i="18"/>
  <c r="A137" i="18"/>
  <c r="A135" i="18"/>
  <c r="A133" i="18"/>
  <c r="A131" i="18"/>
  <c r="A129" i="18"/>
  <c r="A127" i="18"/>
  <c r="B185" i="16"/>
  <c r="A185" i="16"/>
  <c r="B183" i="16"/>
  <c r="A183" i="16"/>
  <c r="B181" i="16"/>
  <c r="B179" i="16"/>
  <c r="A179" i="16"/>
  <c r="B177" i="16"/>
  <c r="A177" i="16"/>
  <c r="B173" i="16"/>
  <c r="A173" i="16"/>
  <c r="B171" i="16"/>
  <c r="A171" i="16"/>
  <c r="B169" i="16"/>
  <c r="A169" i="16"/>
  <c r="B167" i="16"/>
  <c r="A167" i="16"/>
  <c r="B165" i="16"/>
  <c r="A165" i="16"/>
  <c r="B163" i="16"/>
  <c r="A163" i="16"/>
  <c r="B161" i="16"/>
  <c r="A161" i="16"/>
  <c r="B159" i="16"/>
  <c r="A159" i="16"/>
  <c r="B157" i="16"/>
  <c r="A157" i="16"/>
  <c r="B155" i="16"/>
  <c r="A155" i="16"/>
  <c r="B143" i="16"/>
  <c r="A143" i="16"/>
  <c r="B141" i="16"/>
  <c r="A141" i="16"/>
  <c r="B139" i="16"/>
  <c r="A139" i="16"/>
  <c r="B137" i="16"/>
  <c r="A137" i="16"/>
  <c r="B135" i="16"/>
  <c r="A135" i="16"/>
  <c r="B133" i="16"/>
  <c r="A133" i="16"/>
  <c r="B131" i="16"/>
  <c r="A131" i="16"/>
  <c r="B129" i="16"/>
  <c r="A129" i="16"/>
  <c r="B127" i="16"/>
  <c r="A127" i="16"/>
  <c r="B125" i="16"/>
  <c r="A125" i="16"/>
  <c r="B123" i="16"/>
  <c r="B187" i="15"/>
  <c r="A187" i="15"/>
  <c r="B183" i="15"/>
  <c r="A183" i="15"/>
  <c r="A179" i="15"/>
  <c r="B177" i="15"/>
  <c r="A177" i="15"/>
  <c r="B175" i="15"/>
  <c r="A175" i="15"/>
  <c r="B173" i="15"/>
  <c r="A173" i="15"/>
  <c r="B171" i="15"/>
  <c r="A171" i="15"/>
  <c r="B169" i="15"/>
  <c r="A169" i="15"/>
  <c r="B167" i="15"/>
  <c r="A167" i="15"/>
  <c r="B165" i="15"/>
  <c r="A165" i="15"/>
  <c r="B163" i="15"/>
  <c r="A163" i="15"/>
  <c r="B159" i="15"/>
  <c r="A159" i="15"/>
  <c r="A149" i="15"/>
  <c r="A147" i="15"/>
  <c r="A145" i="15"/>
  <c r="A143" i="15"/>
  <c r="A141" i="15"/>
  <c r="A139" i="15"/>
  <c r="B137" i="15"/>
  <c r="A131" i="15"/>
  <c r="B175" i="14"/>
  <c r="A175" i="14"/>
  <c r="B173" i="14"/>
  <c r="A173" i="14"/>
  <c r="B171" i="14"/>
  <c r="A171" i="14"/>
  <c r="B169" i="14"/>
  <c r="A169" i="14"/>
  <c r="B167" i="14"/>
  <c r="A167" i="14"/>
  <c r="B165" i="14"/>
  <c r="A165" i="14"/>
  <c r="B163" i="14"/>
  <c r="A163" i="14"/>
  <c r="B161" i="14"/>
  <c r="A161" i="14"/>
  <c r="B159" i="14"/>
  <c r="A159" i="14"/>
  <c r="B157" i="14"/>
  <c r="A157" i="14"/>
  <c r="B147" i="14"/>
  <c r="A147" i="14"/>
  <c r="B145" i="14"/>
  <c r="A145" i="14"/>
  <c r="B143" i="14"/>
  <c r="A143" i="14"/>
  <c r="B139" i="14"/>
  <c r="A139" i="14"/>
  <c r="B137" i="14"/>
  <c r="A137" i="14"/>
  <c r="B135" i="14"/>
  <c r="A135" i="14"/>
  <c r="B133" i="14"/>
  <c r="A133" i="14"/>
  <c r="B131" i="14"/>
  <c r="A131" i="14"/>
  <c r="B129" i="14"/>
  <c r="A129" i="14"/>
  <c r="B127" i="14"/>
  <c r="A127" i="14"/>
  <c r="B193" i="13"/>
  <c r="A193" i="13"/>
  <c r="A191" i="13"/>
  <c r="B189" i="13"/>
  <c r="A189" i="13"/>
  <c r="B187" i="13"/>
  <c r="A187" i="13"/>
  <c r="A185" i="13"/>
  <c r="B181" i="13"/>
  <c r="A181" i="13"/>
  <c r="B179" i="13"/>
  <c r="A179" i="13"/>
  <c r="B177" i="13"/>
  <c r="A177" i="13"/>
  <c r="B175" i="13"/>
  <c r="A175" i="13"/>
  <c r="B173" i="13"/>
  <c r="A173" i="13"/>
  <c r="B171" i="13"/>
  <c r="A171" i="13"/>
  <c r="B169" i="13"/>
  <c r="A169" i="13"/>
  <c r="B167" i="13"/>
  <c r="A167" i="13"/>
  <c r="B165" i="13"/>
  <c r="A165" i="13"/>
  <c r="B163" i="13"/>
  <c r="A163" i="13"/>
  <c r="B161" i="13"/>
  <c r="A161" i="13"/>
  <c r="A151" i="13"/>
  <c r="B149" i="13"/>
  <c r="A149" i="13"/>
  <c r="B147" i="13"/>
  <c r="A147" i="13"/>
  <c r="B145" i="13"/>
  <c r="A145" i="13"/>
  <c r="B143" i="13"/>
  <c r="A143" i="13"/>
  <c r="B141" i="13"/>
  <c r="A141" i="13"/>
  <c r="B139" i="13"/>
  <c r="A139" i="13"/>
  <c r="B137" i="13"/>
  <c r="A137" i="13"/>
  <c r="B135" i="13"/>
  <c r="A135" i="13"/>
  <c r="B133" i="13"/>
  <c r="A133" i="13"/>
  <c r="B131" i="13"/>
  <c r="A131" i="13"/>
  <c r="B127" i="13"/>
  <c r="AD30" i="14"/>
  <c r="AD32" i="14"/>
  <c r="F34" i="14"/>
  <c r="G34" i="14" s="1"/>
  <c r="AD34" i="14"/>
  <c r="AD36" i="14"/>
  <c r="AD38" i="14"/>
  <c r="AD40" i="14"/>
  <c r="AD42" i="14"/>
  <c r="AD44" i="14"/>
  <c r="F46" i="14"/>
  <c r="G46" i="14" s="1"/>
  <c r="AD46" i="14"/>
  <c r="S48" i="14"/>
  <c r="AD48" i="14"/>
  <c r="AD50" i="14"/>
  <c r="D55" i="14"/>
  <c r="F55" i="14"/>
  <c r="H55" i="14"/>
  <c r="L55" i="14"/>
  <c r="O55" i="14"/>
  <c r="P55" i="14"/>
  <c r="Q55" i="14"/>
  <c r="S55" i="14"/>
  <c r="U55" i="14"/>
  <c r="W55" i="14"/>
  <c r="X55" i="14"/>
  <c r="AD60" i="14"/>
  <c r="AD62" i="14"/>
  <c r="O64" i="14"/>
  <c r="AD64" i="14"/>
  <c r="O66" i="14"/>
  <c r="AD66" i="14"/>
  <c r="AD68" i="14"/>
  <c r="Z70" i="14"/>
  <c r="AD70" i="14"/>
  <c r="Z72" i="14"/>
  <c r="AD72" i="14"/>
  <c r="I74" i="14"/>
  <c r="AD74" i="14"/>
  <c r="AD76" i="14"/>
  <c r="Z78" i="14"/>
  <c r="AD78" i="14"/>
  <c r="AD80" i="14"/>
  <c r="Z82" i="14"/>
  <c r="AD82" i="14"/>
  <c r="AD84" i="14"/>
  <c r="AD92" i="14"/>
  <c r="Z62" i="14" l="1"/>
  <c r="Z42" i="14"/>
  <c r="Z48" i="14"/>
  <c r="Z36" i="14"/>
  <c r="AD62" i="18"/>
  <c r="AD64" i="18"/>
  <c r="AD66" i="18"/>
  <c r="AD68" i="18"/>
  <c r="AD70" i="18"/>
  <c r="AD72" i="18"/>
  <c r="AD74" i="18"/>
  <c r="AD76" i="18"/>
  <c r="AD78" i="18"/>
  <c r="AD82" i="18"/>
  <c r="AD84" i="18"/>
  <c r="AD86" i="18"/>
  <c r="AD88" i="18"/>
  <c r="AD90" i="18"/>
  <c r="AD92" i="18"/>
  <c r="AD60" i="18"/>
  <c r="AD32" i="18"/>
  <c r="AD34" i="18"/>
  <c r="AD36" i="18"/>
  <c r="AD38" i="18"/>
  <c r="AD40" i="18"/>
  <c r="AD42" i="18"/>
  <c r="AD44" i="18"/>
  <c r="AD46" i="18"/>
  <c r="AD48" i="18"/>
  <c r="AD50" i="18"/>
  <c r="AD30" i="18"/>
  <c r="AG62" i="16"/>
  <c r="AG64" i="16"/>
  <c r="AG66" i="16"/>
  <c r="AG68" i="16"/>
  <c r="AG70" i="16"/>
  <c r="AG72" i="16"/>
  <c r="AG74" i="16"/>
  <c r="AG76" i="16"/>
  <c r="AG78" i="16"/>
  <c r="AG80" i="16"/>
  <c r="AG82" i="16"/>
  <c r="AG84" i="16"/>
  <c r="AG86" i="16"/>
  <c r="AG88" i="16"/>
  <c r="AG90" i="16"/>
  <c r="AG32" i="16"/>
  <c r="AG34" i="16"/>
  <c r="AG36" i="16"/>
  <c r="AG38" i="16"/>
  <c r="AG40" i="16"/>
  <c r="AG42" i="16"/>
  <c r="AG44" i="16"/>
  <c r="AG46" i="16"/>
  <c r="AG48" i="16"/>
  <c r="AG50" i="16"/>
  <c r="AG60" i="16"/>
  <c r="AG30" i="16"/>
  <c r="AC32" i="15"/>
  <c r="AC34" i="15"/>
  <c r="AC36" i="15"/>
  <c r="AC38" i="15"/>
  <c r="AC40" i="15"/>
  <c r="AC42" i="15"/>
  <c r="AC44" i="15"/>
  <c r="AC46" i="15"/>
  <c r="AC48" i="15"/>
  <c r="AC50" i="15"/>
  <c r="AC62" i="15"/>
  <c r="AC64" i="15"/>
  <c r="AC66" i="15"/>
  <c r="AC68" i="15"/>
  <c r="AC70" i="15"/>
  <c r="AC72" i="15"/>
  <c r="AC74" i="15"/>
  <c r="AC76" i="15"/>
  <c r="AC78" i="15"/>
  <c r="AC80" i="15"/>
  <c r="AC82" i="15"/>
  <c r="AC84" i="15"/>
  <c r="AC88" i="15"/>
  <c r="AC90" i="15"/>
  <c r="AC92" i="15"/>
  <c r="AC60" i="15"/>
  <c r="AC30" i="15"/>
  <c r="AE32" i="13"/>
  <c r="AE34" i="13"/>
  <c r="AE36" i="13"/>
  <c r="AE38" i="13"/>
  <c r="AE40" i="13"/>
  <c r="AE42" i="13"/>
  <c r="AE44" i="13"/>
  <c r="AE46" i="13"/>
  <c r="AE48" i="13"/>
  <c r="AE50" i="13"/>
  <c r="AE52" i="13"/>
  <c r="AE64" i="13"/>
  <c r="AE66" i="13"/>
  <c r="AE68" i="13"/>
  <c r="AE70" i="13"/>
  <c r="AE72" i="13"/>
  <c r="AE74" i="13"/>
  <c r="AE76" i="13"/>
  <c r="AE78" i="13"/>
  <c r="AE80" i="13"/>
  <c r="AE82" i="13"/>
  <c r="AE84" i="13"/>
  <c r="AE86" i="13"/>
  <c r="AE88" i="13"/>
  <c r="AE90" i="13"/>
  <c r="AE92" i="13"/>
  <c r="AE94" i="13"/>
  <c r="AE62" i="13"/>
  <c r="AE30" i="13"/>
  <c r="AE68" i="19"/>
  <c r="AE70" i="19"/>
  <c r="AE72" i="19"/>
  <c r="AE74" i="19"/>
  <c r="AE76" i="19"/>
  <c r="AE78" i="19"/>
  <c r="AE80" i="19"/>
  <c r="AE82" i="19"/>
  <c r="AE84" i="19"/>
  <c r="AE86" i="19"/>
  <c r="AE88" i="19"/>
  <c r="AE90" i="19"/>
  <c r="AE92" i="19"/>
  <c r="AE94" i="19"/>
  <c r="AE66" i="19"/>
  <c r="AE64" i="19"/>
  <c r="AE62" i="19"/>
  <c r="AE50" i="19"/>
  <c r="AE52" i="19"/>
  <c r="AE46" i="19"/>
  <c r="AE48" i="19"/>
  <c r="AE44" i="19"/>
  <c r="AE40" i="19"/>
  <c r="AE42" i="19"/>
  <c r="AE38" i="19"/>
  <c r="AE36" i="19"/>
  <c r="AE34" i="19"/>
  <c r="AE32" i="19"/>
  <c r="AE30" i="19"/>
  <c r="Z74" i="14" l="1"/>
  <c r="AC74" i="14"/>
  <c r="AA150" i="16" l="1"/>
  <c r="Z150" i="16"/>
  <c r="W150" i="16"/>
  <c r="T150" i="16"/>
  <c r="P150" i="16"/>
  <c r="O150" i="16"/>
  <c r="N150" i="16"/>
  <c r="K150" i="16"/>
  <c r="H150" i="16"/>
  <c r="F150" i="16"/>
  <c r="E150" i="16"/>
  <c r="AA55" i="16"/>
  <c r="Z55" i="16"/>
  <c r="W55" i="16"/>
  <c r="T55" i="16"/>
  <c r="P55" i="16"/>
  <c r="O55" i="16"/>
  <c r="N55" i="16"/>
  <c r="K55" i="16"/>
  <c r="H55" i="16"/>
  <c r="F55" i="16"/>
  <c r="E55" i="16"/>
  <c r="Y55" i="18"/>
  <c r="X55" i="18"/>
  <c r="V55" i="18"/>
  <c r="R55" i="18"/>
  <c r="N55" i="18"/>
  <c r="F55" i="18"/>
  <c r="E55" i="18"/>
  <c r="U55" i="15"/>
  <c r="S55" i="15"/>
  <c r="Q55" i="15"/>
  <c r="P55" i="15"/>
  <c r="O55" i="15"/>
  <c r="N55" i="15"/>
  <c r="L55" i="15"/>
  <c r="J55" i="15"/>
  <c r="H55" i="15"/>
  <c r="F55" i="15"/>
  <c r="U154" i="15"/>
  <c r="S154" i="15"/>
  <c r="Q154" i="15"/>
  <c r="P154" i="15"/>
  <c r="O154" i="15"/>
  <c r="N154" i="15"/>
  <c r="L154" i="15"/>
  <c r="J154" i="15"/>
  <c r="H154" i="15"/>
  <c r="F154" i="15"/>
  <c r="Y156" i="13" l="1"/>
  <c r="X156" i="13"/>
  <c r="U156" i="13"/>
  <c r="T156" i="13"/>
  <c r="S156" i="13"/>
  <c r="Q156" i="13"/>
  <c r="N156" i="13"/>
  <c r="H156" i="13"/>
  <c r="F156" i="13"/>
  <c r="E156" i="13"/>
  <c r="Y57" i="13"/>
  <c r="X57" i="13"/>
  <c r="W57" i="13"/>
  <c r="U57" i="13"/>
  <c r="T57" i="13"/>
  <c r="S57" i="13"/>
  <c r="Q57" i="13"/>
  <c r="N57" i="13"/>
  <c r="H57" i="13"/>
  <c r="E57" i="13"/>
  <c r="AC70" i="14" l="1"/>
  <c r="AC72" i="14"/>
  <c r="AC82" i="14"/>
  <c r="AD74" i="13" l="1"/>
  <c r="AC74" i="18"/>
  <c r="AC72" i="18"/>
  <c r="AF74" i="16"/>
  <c r="AF90" i="16"/>
  <c r="AF72" i="16"/>
  <c r="AB74" i="15"/>
  <c r="AF50" i="16"/>
  <c r="AB80" i="15"/>
  <c r="AB72" i="15"/>
  <c r="AB36" i="15"/>
  <c r="AB181" i="19" l="1"/>
  <c r="AB173" i="19"/>
  <c r="T125" i="19"/>
  <c r="G125" i="19"/>
  <c r="T124" i="19"/>
  <c r="T172" i="19" s="1"/>
  <c r="S124" i="19"/>
  <c r="Q124" i="19"/>
  <c r="P124" i="19"/>
  <c r="O124" i="19"/>
  <c r="I124" i="19"/>
  <c r="H124" i="19"/>
  <c r="G124" i="19"/>
  <c r="AB196" i="19"/>
  <c r="O90" i="19"/>
  <c r="M90" i="19"/>
  <c r="O25" i="19"/>
  <c r="P165" i="19" l="1"/>
  <c r="Q165" i="19" s="1"/>
  <c r="AA165" i="19" s="1"/>
  <c r="P141" i="19"/>
  <c r="Q141" i="19" s="1"/>
  <c r="AA141" i="19" s="1"/>
  <c r="P127" i="19"/>
  <c r="Q127" i="19" s="1"/>
  <c r="AA127" i="19" s="1"/>
  <c r="P189" i="19"/>
  <c r="Q189" i="19" s="1"/>
  <c r="AA189" i="19" s="1"/>
  <c r="P183" i="19"/>
  <c r="Q183" i="19" s="1"/>
  <c r="AA183" i="19" s="1"/>
  <c r="P139" i="19"/>
  <c r="Q139" i="19" s="1"/>
  <c r="AA139" i="19" s="1"/>
  <c r="P131" i="19"/>
  <c r="Q131" i="19" s="1"/>
  <c r="AA131" i="19" s="1"/>
  <c r="H147" i="19"/>
  <c r="I147" i="19" s="1"/>
  <c r="AA147" i="19" s="1"/>
  <c r="H135" i="19"/>
  <c r="I135" i="19" s="1"/>
  <c r="AA135" i="19" s="1"/>
  <c r="G188" i="19"/>
  <c r="G144" i="19"/>
  <c r="G146" i="19"/>
  <c r="G130" i="19"/>
  <c r="Q125" i="19"/>
  <c r="O125" i="19"/>
  <c r="AB145" i="19"/>
  <c r="AB151" i="19"/>
  <c r="AB193" i="19"/>
  <c r="AB149" i="19"/>
  <c r="AB177" i="19"/>
  <c r="AB169" i="19"/>
  <c r="AB175" i="19"/>
  <c r="AB185" i="19"/>
  <c r="AB187" i="19"/>
  <c r="I125" i="19"/>
  <c r="I146" i="19" l="1"/>
  <c r="I178" i="19"/>
  <c r="I134" i="19"/>
  <c r="Q188" i="19"/>
  <c r="Q164" i="19"/>
  <c r="Q182" i="19"/>
  <c r="Q130" i="19"/>
  <c r="Q126" i="19"/>
  <c r="Q140" i="19"/>
  <c r="Q138" i="19"/>
  <c r="O128" i="19"/>
  <c r="AB129" i="19"/>
  <c r="AB127" i="19"/>
  <c r="AB167" i="19"/>
  <c r="AB133" i="19"/>
  <c r="AB163" i="19"/>
  <c r="AB183" i="19"/>
  <c r="AB189" i="19"/>
  <c r="AB179" i="19"/>
  <c r="AB143" i="19"/>
  <c r="AB137" i="19"/>
  <c r="AB139" i="19"/>
  <c r="AB171" i="19"/>
  <c r="AB147" i="19"/>
  <c r="AB165" i="19"/>
  <c r="AB161" i="19"/>
  <c r="AB191" i="19"/>
  <c r="AB131" i="19"/>
  <c r="AB141" i="19"/>
  <c r="F90" i="19"/>
  <c r="G90" i="19" s="1"/>
  <c r="AA88" i="19"/>
  <c r="AD88" i="19" s="1"/>
  <c r="AB82" i="19"/>
  <c r="Y78" i="19"/>
  <c r="AA78" i="19" s="1"/>
  <c r="AD78" i="19" s="1"/>
  <c r="AA76" i="19"/>
  <c r="AD76" i="19" s="1"/>
  <c r="AB74" i="19"/>
  <c r="AA70" i="19"/>
  <c r="AD70" i="19" s="1"/>
  <c r="AA52" i="19"/>
  <c r="AD52" i="19" s="1"/>
  <c r="S50" i="19"/>
  <c r="AA50" i="19" s="1"/>
  <c r="AD50" i="19" s="1"/>
  <c r="F48" i="19"/>
  <c r="G48" i="19" s="1"/>
  <c r="F46" i="19"/>
  <c r="G46" i="19" s="1"/>
  <c r="AA46" i="19" s="1"/>
  <c r="AD46" i="19" s="1"/>
  <c r="F32" i="19"/>
  <c r="G32" i="19" s="1"/>
  <c r="Z26" i="19"/>
  <c r="T26" i="19"/>
  <c r="G26" i="19"/>
  <c r="Z25" i="19"/>
  <c r="Z75" i="19" s="1"/>
  <c r="Y25" i="19"/>
  <c r="X25" i="19"/>
  <c r="T25" i="19"/>
  <c r="T73" i="19" s="1"/>
  <c r="S25" i="19"/>
  <c r="Q25" i="19"/>
  <c r="P25" i="19"/>
  <c r="P40" i="19" s="1"/>
  <c r="K25" i="19"/>
  <c r="I25" i="19"/>
  <c r="H25" i="19"/>
  <c r="H36" i="19" s="1"/>
  <c r="I36" i="19" s="1"/>
  <c r="G25" i="19"/>
  <c r="E25" i="19"/>
  <c r="I13" i="19"/>
  <c r="K13" i="19" s="1"/>
  <c r="AB97" i="19" s="1"/>
  <c r="R50" i="18"/>
  <c r="Z50" i="18" s="1"/>
  <c r="N90" i="18"/>
  <c r="Z68" i="18"/>
  <c r="Z42" i="18"/>
  <c r="AB135" i="19" l="1"/>
  <c r="AB194" i="19" s="1"/>
  <c r="N112" i="19" s="1"/>
  <c r="N114" i="19" s="1"/>
  <c r="AA86" i="19"/>
  <c r="AD86" i="19" s="1"/>
  <c r="P28" i="19"/>
  <c r="Q28" i="19" s="1"/>
  <c r="AA28" i="19" s="1"/>
  <c r="AD28" i="19" s="1"/>
  <c r="G89" i="19"/>
  <c r="AC68" i="18"/>
  <c r="AA135" i="18"/>
  <c r="AA133" i="18"/>
  <c r="AA137" i="18"/>
  <c r="AA141" i="18"/>
  <c r="AA72" i="19"/>
  <c r="AD72" i="19" s="1"/>
  <c r="AD94" i="19"/>
  <c r="AA147" i="18"/>
  <c r="AA145" i="18"/>
  <c r="I80" i="19"/>
  <c r="AA80" i="19" s="1"/>
  <c r="AD80" i="19" s="1"/>
  <c r="H48" i="19"/>
  <c r="I48" i="19" s="1"/>
  <c r="AA48" i="19" s="1"/>
  <c r="AD48" i="19" s="1"/>
  <c r="P90" i="19"/>
  <c r="Q90" i="19" s="1"/>
  <c r="P84" i="19"/>
  <c r="Q84" i="19" s="1"/>
  <c r="AA84" i="19" s="1"/>
  <c r="AD84" i="19" s="1"/>
  <c r="P66" i="19"/>
  <c r="Q66" i="19" s="1"/>
  <c r="AA66" i="19" s="1"/>
  <c r="AD66" i="19" s="1"/>
  <c r="P42" i="19"/>
  <c r="Q42" i="19" s="1"/>
  <c r="AA42" i="19" s="1"/>
  <c r="AD42" i="19" s="1"/>
  <c r="AA92" i="19"/>
  <c r="AD92" i="19" s="1"/>
  <c r="V90" i="19"/>
  <c r="AA90" i="19" s="1"/>
  <c r="AD90" i="19" s="1"/>
  <c r="AA68" i="19"/>
  <c r="AD68" i="19" s="1"/>
  <c r="V64" i="19"/>
  <c r="AA64" i="19" s="1"/>
  <c r="AD64" i="19" s="1"/>
  <c r="AA62" i="19"/>
  <c r="AD62" i="19" s="1"/>
  <c r="G47" i="19"/>
  <c r="G45" i="19"/>
  <c r="I26" i="19"/>
  <c r="Q26" i="19"/>
  <c r="Q27" i="19" s="1"/>
  <c r="G31" i="19"/>
  <c r="P32" i="19"/>
  <c r="Q32" i="19" s="1"/>
  <c r="AA32" i="19" s="1"/>
  <c r="AD32" i="19" s="1"/>
  <c r="AA34" i="19"/>
  <c r="AD34" i="19" s="1"/>
  <c r="AA38" i="19"/>
  <c r="AD38" i="19" s="1"/>
  <c r="Q40" i="19"/>
  <c r="AA40" i="19" s="1"/>
  <c r="AD40" i="19" s="1"/>
  <c r="AA30" i="19" l="1"/>
  <c r="AA36" i="19"/>
  <c r="AD36" i="19" s="1"/>
  <c r="AB86" i="19"/>
  <c r="AB64" i="19"/>
  <c r="I35" i="19"/>
  <c r="I79" i="19"/>
  <c r="AB48" i="19"/>
  <c r="AA129" i="18"/>
  <c r="AA139" i="18"/>
  <c r="Q83" i="19"/>
  <c r="AA125" i="18"/>
  <c r="AA131" i="18"/>
  <c r="AA143" i="18"/>
  <c r="AC50" i="18"/>
  <c r="AB94" i="19"/>
  <c r="AB52" i="19"/>
  <c r="AB46" i="19"/>
  <c r="AB62" i="19"/>
  <c r="AB92" i="19"/>
  <c r="AB88" i="19"/>
  <c r="AB76" i="19"/>
  <c r="AB78" i="19"/>
  <c r="AB70" i="19"/>
  <c r="AB50" i="19"/>
  <c r="AA127" i="18"/>
  <c r="Q89" i="19"/>
  <c r="Q65" i="19"/>
  <c r="Q41" i="19"/>
  <c r="Q39" i="19"/>
  <c r="Q31" i="19"/>
  <c r="I47" i="19"/>
  <c r="AA192" i="18" l="1"/>
  <c r="N110" i="18" s="1"/>
  <c r="N112" i="18" s="1"/>
  <c r="AB30" i="19"/>
  <c r="AD30" i="19"/>
  <c r="AB36" i="19"/>
  <c r="AB68" i="19"/>
  <c r="AB84" i="19"/>
  <c r="AB72" i="19"/>
  <c r="AB40" i="19"/>
  <c r="AB42" i="19"/>
  <c r="AB34" i="19"/>
  <c r="AB80" i="19"/>
  <c r="AB44" i="19"/>
  <c r="AB28" i="19"/>
  <c r="AB38" i="19"/>
  <c r="AB90" i="19"/>
  <c r="AB66" i="19"/>
  <c r="AB32" i="19"/>
  <c r="AB95" i="19" l="1"/>
  <c r="N13" i="19" s="1"/>
  <c r="N15" i="19" s="1"/>
  <c r="AA92" i="18" l="1"/>
  <c r="V90" i="18"/>
  <c r="F90" i="18"/>
  <c r="G90" i="18" s="1"/>
  <c r="AA86" i="18"/>
  <c r="Z84" i="18"/>
  <c r="AC84" i="18" s="1"/>
  <c r="AA74" i="18"/>
  <c r="AA72" i="18"/>
  <c r="AA68" i="18"/>
  <c r="Z66" i="18"/>
  <c r="Z64" i="18"/>
  <c r="Z62" i="18"/>
  <c r="Z60" i="18"/>
  <c r="AA50" i="18"/>
  <c r="Z48" i="18"/>
  <c r="Z40" i="18"/>
  <c r="AC36" i="18"/>
  <c r="F34" i="18"/>
  <c r="G34" i="18" s="1"/>
  <c r="Z34" i="18" s="1"/>
  <c r="N32" i="18"/>
  <c r="Z32" i="18" s="1"/>
  <c r="Y26" i="18"/>
  <c r="S26" i="18"/>
  <c r="Y25" i="18"/>
  <c r="Y73" i="18" s="1"/>
  <c r="X25" i="18"/>
  <c r="V25" i="18"/>
  <c r="AC38" i="18" s="1"/>
  <c r="S25" i="18"/>
  <c r="S71" i="18" s="1"/>
  <c r="R25" i="18"/>
  <c r="N25" i="18"/>
  <c r="L25" i="18"/>
  <c r="K25" i="18"/>
  <c r="G25" i="18"/>
  <c r="K13" i="18"/>
  <c r="AA97" i="18" s="1"/>
  <c r="Z90" i="18" l="1"/>
  <c r="AC90" i="18" s="1"/>
  <c r="Z82" i="18"/>
  <c r="AC82" i="18" s="1"/>
  <c r="G29" i="18"/>
  <c r="G45" i="18"/>
  <c r="G35" i="18"/>
  <c r="AC40" i="18"/>
  <c r="AC44" i="18"/>
  <c r="AC48" i="18"/>
  <c r="AC62" i="18"/>
  <c r="G89" i="18"/>
  <c r="AC42" i="18"/>
  <c r="AC76" i="18"/>
  <c r="AC30" i="18"/>
  <c r="AC60" i="18"/>
  <c r="AA38" i="18"/>
  <c r="AA36" i="18"/>
  <c r="G33" i="18"/>
  <c r="AA44" i="18" l="1"/>
  <c r="AA62" i="18"/>
  <c r="AA76" i="18"/>
  <c r="AC66" i="18"/>
  <c r="AC64" i="18"/>
  <c r="AC46" i="18"/>
  <c r="AA42" i="18"/>
  <c r="AA40" i="18"/>
  <c r="AA60" i="18"/>
  <c r="AC32" i="18"/>
  <c r="AA82" i="18"/>
  <c r="AA78" i="18"/>
  <c r="AC78" i="18"/>
  <c r="AC34" i="18"/>
  <c r="AC70" i="18"/>
  <c r="AA88" i="18"/>
  <c r="AA48" i="18"/>
  <c r="AA30" i="18"/>
  <c r="AA84" i="18"/>
  <c r="AD185" i="16"/>
  <c r="AD169" i="16"/>
  <c r="AD167" i="16"/>
  <c r="AD145" i="16"/>
  <c r="AA121" i="16"/>
  <c r="U121" i="16"/>
  <c r="AA120" i="16"/>
  <c r="AA168" i="16" s="1"/>
  <c r="Z120" i="16"/>
  <c r="U120" i="16"/>
  <c r="U166" i="16" s="1"/>
  <c r="T120" i="16"/>
  <c r="Q120" i="16"/>
  <c r="P120" i="16"/>
  <c r="O120" i="16"/>
  <c r="N120" i="16"/>
  <c r="J120" i="16"/>
  <c r="I120" i="16"/>
  <c r="H120" i="16"/>
  <c r="G120" i="16"/>
  <c r="E120" i="16"/>
  <c r="AD188" i="16"/>
  <c r="H171" i="16" l="1"/>
  <c r="I171" i="16" s="1"/>
  <c r="AC171" i="16" s="1"/>
  <c r="H141" i="16"/>
  <c r="I141" i="16" s="1"/>
  <c r="AC141" i="16" s="1"/>
  <c r="H173" i="16"/>
  <c r="I173" i="16" s="1"/>
  <c r="AC173" i="16" s="1"/>
  <c r="P183" i="16"/>
  <c r="Q183" i="16" s="1"/>
  <c r="P161" i="16"/>
  <c r="Q161" i="16" s="1"/>
  <c r="AC161" i="16" s="1"/>
  <c r="P159" i="16"/>
  <c r="Q159" i="16" s="1"/>
  <c r="AC159" i="16" s="1"/>
  <c r="P129" i="16"/>
  <c r="Q129" i="16" s="1"/>
  <c r="AC129" i="16" s="1"/>
  <c r="P127" i="16"/>
  <c r="Q127" i="16" s="1"/>
  <c r="AC127" i="16" s="1"/>
  <c r="P165" i="16"/>
  <c r="Q165" i="16" s="1"/>
  <c r="AC165" i="16" s="1"/>
  <c r="P123" i="16"/>
  <c r="Q123" i="16" s="1"/>
  <c r="AC123" i="16" s="1"/>
  <c r="AD139" i="16"/>
  <c r="AD177" i="16"/>
  <c r="AA70" i="18"/>
  <c r="AD133" i="16"/>
  <c r="AD135" i="16"/>
  <c r="AA66" i="18"/>
  <c r="AA46" i="18"/>
  <c r="AA64" i="18"/>
  <c r="AA32" i="18"/>
  <c r="AA34" i="18"/>
  <c r="AA28" i="18"/>
  <c r="AC28" i="18"/>
  <c r="AA90" i="18"/>
  <c r="AD131" i="16"/>
  <c r="AD155" i="16"/>
  <c r="AD157" i="16"/>
  <c r="AD163" i="16"/>
  <c r="AD175" i="16"/>
  <c r="AD137" i="16"/>
  <c r="AD143" i="16"/>
  <c r="AD171" i="16"/>
  <c r="AD179" i="16"/>
  <c r="AD181" i="16"/>
  <c r="I121" i="16"/>
  <c r="Q121" i="16"/>
  <c r="AC84" i="16"/>
  <c r="N68" i="16"/>
  <c r="AC68" i="16" s="1"/>
  <c r="E25" i="13"/>
  <c r="E32" i="13" s="1"/>
  <c r="E124" i="13"/>
  <c r="E131" i="13" s="1"/>
  <c r="E25" i="14"/>
  <c r="E122" i="14"/>
  <c r="AD90" i="16"/>
  <c r="N88" i="16"/>
  <c r="N82" i="16"/>
  <c r="AD74" i="16"/>
  <c r="AD72" i="16"/>
  <c r="N64" i="16"/>
  <c r="AC62" i="16"/>
  <c r="N60" i="16"/>
  <c r="AD50" i="16"/>
  <c r="T48" i="16"/>
  <c r="AC48" i="16" s="1"/>
  <c r="AC42" i="16"/>
  <c r="AA26" i="16"/>
  <c r="U26" i="16"/>
  <c r="AA25" i="16"/>
  <c r="AA73" i="16" s="1"/>
  <c r="Z25" i="16"/>
  <c r="U25" i="16"/>
  <c r="U71" i="16" s="1"/>
  <c r="T25" i="16"/>
  <c r="Q25" i="16"/>
  <c r="P25" i="16"/>
  <c r="AC44" i="16" s="1"/>
  <c r="O25" i="16"/>
  <c r="N25" i="16"/>
  <c r="J25" i="16"/>
  <c r="I25" i="16"/>
  <c r="H25" i="16"/>
  <c r="H76" i="16" s="1"/>
  <c r="I76" i="16" s="1"/>
  <c r="E25" i="16"/>
  <c r="I13" i="16"/>
  <c r="J13" i="16" s="1"/>
  <c r="AD93" i="16" s="1"/>
  <c r="Z179" i="15"/>
  <c r="Z173" i="15"/>
  <c r="Z171" i="15"/>
  <c r="Z135" i="15"/>
  <c r="Q182" i="16" l="1"/>
  <c r="AC183" i="16"/>
  <c r="Q122" i="16"/>
  <c r="Q164" i="16"/>
  <c r="Q160" i="16"/>
  <c r="Q158" i="16"/>
  <c r="Q126" i="16"/>
  <c r="Q132" i="16"/>
  <c r="Q128" i="16"/>
  <c r="I140" i="16"/>
  <c r="I172" i="16"/>
  <c r="I170" i="16"/>
  <c r="AA95" i="18"/>
  <c r="N13" i="18" s="1"/>
  <c r="N26" i="14"/>
  <c r="M92" i="14"/>
  <c r="N92" i="14" s="1"/>
  <c r="AD183" i="16"/>
  <c r="AD129" i="16"/>
  <c r="AD141" i="16"/>
  <c r="Z187" i="15"/>
  <c r="AC60" i="16"/>
  <c r="AF60" i="16" s="1"/>
  <c r="AC76" i="16"/>
  <c r="AF76" i="16" s="1"/>
  <c r="AF80" i="16"/>
  <c r="X40" i="16"/>
  <c r="AC40" i="16" s="1"/>
  <c r="X38" i="16"/>
  <c r="AC38" i="16" s="1"/>
  <c r="AC30" i="16"/>
  <c r="X36" i="16"/>
  <c r="AC36" i="16" s="1"/>
  <c r="AF62" i="16"/>
  <c r="AF42" i="16"/>
  <c r="AF48" i="16"/>
  <c r="AF68" i="16"/>
  <c r="H78" i="16"/>
  <c r="I78" i="16" s="1"/>
  <c r="AC78" i="16" s="1"/>
  <c r="H46" i="16"/>
  <c r="I46" i="16" s="1"/>
  <c r="AC46" i="16" s="1"/>
  <c r="G29" i="16"/>
  <c r="G43" i="16"/>
  <c r="G45" i="16"/>
  <c r="G87" i="16"/>
  <c r="AF84" i="16"/>
  <c r="AD165" i="16"/>
  <c r="P88" i="16"/>
  <c r="Q88" i="16" s="1"/>
  <c r="AC88" i="16" s="1"/>
  <c r="AC82" i="16"/>
  <c r="P64" i="16"/>
  <c r="Q64" i="16" s="1"/>
  <c r="AD84" i="16"/>
  <c r="AB50" i="15"/>
  <c r="AD123" i="16"/>
  <c r="AD173" i="16"/>
  <c r="AD161" i="16"/>
  <c r="AD159" i="16"/>
  <c r="AF44" i="16"/>
  <c r="AD125" i="16"/>
  <c r="AF86" i="16"/>
  <c r="Z149" i="15"/>
  <c r="Z183" i="15"/>
  <c r="Z147" i="15"/>
  <c r="AB92" i="15"/>
  <c r="AD127" i="16"/>
  <c r="I26" i="16"/>
  <c r="I75" i="16" s="1"/>
  <c r="Q26" i="16"/>
  <c r="P28" i="16"/>
  <c r="Q28" i="16" s="1"/>
  <c r="AC28" i="16" s="1"/>
  <c r="P32" i="16"/>
  <c r="Q32" i="16" s="1"/>
  <c r="AC32" i="16" s="1"/>
  <c r="P34" i="16"/>
  <c r="Q34" i="16" s="1"/>
  <c r="AC64" i="16"/>
  <c r="AC66" i="16"/>
  <c r="AC70" i="16"/>
  <c r="G26" i="13"/>
  <c r="G89" i="13" s="1"/>
  <c r="Z92" i="15"/>
  <c r="Z80" i="15"/>
  <c r="Z74" i="15"/>
  <c r="Z72" i="15"/>
  <c r="Z50" i="15"/>
  <c r="Z36" i="15"/>
  <c r="Z97" i="15"/>
  <c r="Z169" i="14"/>
  <c r="Z167" i="14"/>
  <c r="AC62" i="14"/>
  <c r="X123" i="14"/>
  <c r="T123" i="14"/>
  <c r="G123" i="14"/>
  <c r="X122" i="14"/>
  <c r="X168" i="14" s="1"/>
  <c r="W122" i="14"/>
  <c r="W173" i="14" s="1"/>
  <c r="Y173" i="14" s="1"/>
  <c r="T122" i="14"/>
  <c r="T166" i="14" s="1"/>
  <c r="S122" i="14"/>
  <c r="R122" i="14"/>
  <c r="Q122" i="14"/>
  <c r="P122" i="14"/>
  <c r="O122" i="14"/>
  <c r="I122" i="14"/>
  <c r="H122" i="14"/>
  <c r="G122" i="14"/>
  <c r="Z192" i="14"/>
  <c r="H143" i="14" l="1"/>
  <c r="I143" i="14" s="1"/>
  <c r="H131" i="14"/>
  <c r="I131" i="14" s="1"/>
  <c r="Q189" i="14"/>
  <c r="R189" i="14" s="1"/>
  <c r="Q161" i="14"/>
  <c r="R161" i="14" s="1"/>
  <c r="Q125" i="14"/>
  <c r="R125" i="14" s="1"/>
  <c r="Q163" i="14"/>
  <c r="R163" i="14" s="1"/>
  <c r="G188" i="14"/>
  <c r="G138" i="14"/>
  <c r="G130" i="14"/>
  <c r="G126" i="14"/>
  <c r="G142" i="14"/>
  <c r="N39" i="14"/>
  <c r="N91" i="14"/>
  <c r="N63" i="14"/>
  <c r="N43" i="14"/>
  <c r="Z189" i="14"/>
  <c r="Z181" i="14"/>
  <c r="AF34" i="16"/>
  <c r="Z141" i="15"/>
  <c r="AF40" i="16"/>
  <c r="AF36" i="16"/>
  <c r="Z181" i="15"/>
  <c r="Z157" i="14"/>
  <c r="G35" i="13"/>
  <c r="AB78" i="15"/>
  <c r="AF78" i="16"/>
  <c r="AD62" i="16"/>
  <c r="AF46" i="16"/>
  <c r="AD36" i="16"/>
  <c r="AD48" i="16"/>
  <c r="AD68" i="16"/>
  <c r="AF64" i="16"/>
  <c r="AF70" i="16"/>
  <c r="AF32" i="16"/>
  <c r="AF82" i="16"/>
  <c r="I45" i="16"/>
  <c r="I77" i="16"/>
  <c r="Q87" i="16"/>
  <c r="Q37" i="16"/>
  <c r="AB70" i="15"/>
  <c r="AB48" i="15"/>
  <c r="AB84" i="15"/>
  <c r="Z139" i="15"/>
  <c r="N15" i="18"/>
  <c r="AF30" i="16"/>
  <c r="Z131" i="15"/>
  <c r="Z129" i="15"/>
  <c r="AB88" i="15"/>
  <c r="AD76" i="16"/>
  <c r="AD80" i="16"/>
  <c r="AD60" i="16"/>
  <c r="AF66" i="16"/>
  <c r="Q63" i="16"/>
  <c r="AB44" i="15"/>
  <c r="AC42" i="14"/>
  <c r="Z143" i="15"/>
  <c r="Z161" i="15"/>
  <c r="Z175" i="15"/>
  <c r="Z133" i="15"/>
  <c r="Z169" i="15"/>
  <c r="Z137" i="15"/>
  <c r="AF28" i="16"/>
  <c r="AD44" i="16"/>
  <c r="AD78" i="16"/>
  <c r="AD186" i="16"/>
  <c r="N108" i="16" s="1"/>
  <c r="N110" i="16" s="1"/>
  <c r="AD86" i="16"/>
  <c r="AD66" i="16"/>
  <c r="AD42" i="16"/>
  <c r="AB38" i="15"/>
  <c r="AB76" i="15"/>
  <c r="Z147" i="14"/>
  <c r="Z159" i="14"/>
  <c r="AC78" i="14"/>
  <c r="G31" i="13"/>
  <c r="Q33" i="16"/>
  <c r="Q31" i="16"/>
  <c r="Q27" i="16"/>
  <c r="Z44" i="15"/>
  <c r="Z135" i="14"/>
  <c r="I123" i="14"/>
  <c r="Z171" i="14"/>
  <c r="X26" i="14"/>
  <c r="T26" i="14"/>
  <c r="G26" i="14"/>
  <c r="G91" i="14" s="1"/>
  <c r="X25" i="14"/>
  <c r="X71" i="14" s="1"/>
  <c r="W25" i="14"/>
  <c r="T25" i="14"/>
  <c r="T69" i="14" s="1"/>
  <c r="S25" i="14"/>
  <c r="R25" i="14"/>
  <c r="Q25" i="14"/>
  <c r="Q92" i="14" s="1"/>
  <c r="R92" i="14" s="1"/>
  <c r="Z92" i="14" s="1"/>
  <c r="P25" i="14"/>
  <c r="O25" i="14"/>
  <c r="I25" i="14"/>
  <c r="H25" i="14"/>
  <c r="G25" i="14"/>
  <c r="Z95" i="14"/>
  <c r="AB173" i="13"/>
  <c r="Y125" i="13"/>
  <c r="T125" i="13"/>
  <c r="Y124" i="13"/>
  <c r="Y174" i="13" s="1"/>
  <c r="X124" i="13"/>
  <c r="W124" i="13"/>
  <c r="U124" i="13"/>
  <c r="T124" i="13"/>
  <c r="T172" i="13" s="1"/>
  <c r="S124" i="13"/>
  <c r="R124" i="13"/>
  <c r="Q124" i="13"/>
  <c r="N124" i="13"/>
  <c r="L124" i="13"/>
  <c r="K124" i="13"/>
  <c r="I124" i="13"/>
  <c r="H124" i="13"/>
  <c r="G124" i="13"/>
  <c r="AB196" i="13"/>
  <c r="H179" i="13" l="1"/>
  <c r="I179" i="13" s="1"/>
  <c r="AA179" i="13" s="1"/>
  <c r="H147" i="13"/>
  <c r="I147" i="13" s="1"/>
  <c r="Q189" i="13"/>
  <c r="R189" i="13" s="1"/>
  <c r="AA189" i="13" s="1"/>
  <c r="Q141" i="13"/>
  <c r="R141" i="13" s="1"/>
  <c r="Q133" i="13"/>
  <c r="R133" i="13" s="1"/>
  <c r="AA133" i="13" s="1"/>
  <c r="Q127" i="13"/>
  <c r="R127" i="13" s="1"/>
  <c r="AA127" i="13" s="1"/>
  <c r="U147" i="13"/>
  <c r="U141" i="13"/>
  <c r="AA141" i="13" s="1"/>
  <c r="U131" i="13"/>
  <c r="AA131" i="13" s="1"/>
  <c r="U135" i="13"/>
  <c r="AA135" i="13" s="1"/>
  <c r="I170" i="14"/>
  <c r="I142" i="14"/>
  <c r="I130" i="14"/>
  <c r="AB135" i="13"/>
  <c r="AC92" i="14"/>
  <c r="Z131" i="14"/>
  <c r="Z68" i="14"/>
  <c r="G41" i="14"/>
  <c r="AB42" i="15"/>
  <c r="AD40" i="16"/>
  <c r="Z78" i="15"/>
  <c r="AB40" i="15"/>
  <c r="AF38" i="16"/>
  <c r="AD38" i="16"/>
  <c r="AB30" i="15"/>
  <c r="Z143" i="14"/>
  <c r="Z48" i="15"/>
  <c r="Z88" i="15"/>
  <c r="AB60" i="15"/>
  <c r="Z84" i="15"/>
  <c r="AD64" i="16"/>
  <c r="AB82" i="15"/>
  <c r="AB66" i="15"/>
  <c r="Z64" i="15"/>
  <c r="Z46" i="15"/>
  <c r="AB32" i="15"/>
  <c r="Z68" i="15"/>
  <c r="AB62" i="15"/>
  <c r="AD30" i="16"/>
  <c r="AD82" i="16"/>
  <c r="AB90" i="15"/>
  <c r="Z50" i="14"/>
  <c r="AC50" i="14"/>
  <c r="AD46" i="16"/>
  <c r="AB34" i="15"/>
  <c r="Z34" i="15"/>
  <c r="Z163" i="14"/>
  <c r="AD70" i="16"/>
  <c r="AF88" i="16"/>
  <c r="AD88" i="16"/>
  <c r="AD34" i="16"/>
  <c r="AD32" i="16"/>
  <c r="Z38" i="15"/>
  <c r="Z76" i="15"/>
  <c r="Z90" i="15"/>
  <c r="G29" i="14"/>
  <c r="Z177" i="14"/>
  <c r="Z137" i="14"/>
  <c r="Z141" i="14"/>
  <c r="Z139" i="14"/>
  <c r="Z125" i="14"/>
  <c r="Z145" i="14"/>
  <c r="AC48" i="14"/>
  <c r="Z133" i="14"/>
  <c r="AC36" i="14"/>
  <c r="Z175" i="14"/>
  <c r="Z161" i="14"/>
  <c r="H34" i="14"/>
  <c r="I34" i="14" s="1"/>
  <c r="H46" i="14"/>
  <c r="I46" i="14" s="1"/>
  <c r="Q28" i="14"/>
  <c r="R28" i="14" s="1"/>
  <c r="Q64" i="14"/>
  <c r="R64" i="14" s="1"/>
  <c r="Q66" i="14"/>
  <c r="R66" i="14" s="1"/>
  <c r="Z38" i="14"/>
  <c r="AC38" i="14"/>
  <c r="W76" i="14"/>
  <c r="G33" i="14"/>
  <c r="G45" i="14"/>
  <c r="Z177" i="15"/>
  <c r="Z167" i="15"/>
  <c r="Z127" i="15"/>
  <c r="Z165" i="15"/>
  <c r="Z163" i="15"/>
  <c r="Z159" i="15"/>
  <c r="Z145" i="15"/>
  <c r="AD28" i="16"/>
  <c r="AB151" i="13"/>
  <c r="AB193" i="13"/>
  <c r="Z70" i="15"/>
  <c r="Z62" i="15"/>
  <c r="AB171" i="13"/>
  <c r="AB149" i="13"/>
  <c r="AB169" i="13"/>
  <c r="AB175" i="13"/>
  <c r="AB177" i="13"/>
  <c r="AB185" i="13"/>
  <c r="AB187" i="13"/>
  <c r="Z129" i="14"/>
  <c r="Z173" i="14"/>
  <c r="I26" i="14"/>
  <c r="R26" i="14"/>
  <c r="AB145" i="13"/>
  <c r="AD70" i="13"/>
  <c r="F48" i="13"/>
  <c r="G48" i="13" s="1"/>
  <c r="AA48" i="13" s="1"/>
  <c r="F38" i="13"/>
  <c r="G38" i="13" s="1"/>
  <c r="AA38" i="13" s="1"/>
  <c r="AA147" i="13" l="1"/>
  <c r="Z194" i="15"/>
  <c r="O112" i="15" s="1"/>
  <c r="O114" i="15" s="1"/>
  <c r="AB165" i="13"/>
  <c r="AB183" i="13"/>
  <c r="AB131" i="13"/>
  <c r="R91" i="14"/>
  <c r="V39" i="14"/>
  <c r="V37" i="14"/>
  <c r="V33" i="14"/>
  <c r="V29" i="14"/>
  <c r="AB28" i="15"/>
  <c r="Z28" i="15"/>
  <c r="Z66" i="14"/>
  <c r="AB147" i="13"/>
  <c r="AC46" i="14"/>
  <c r="Z76" i="14"/>
  <c r="Z64" i="14"/>
  <c r="AB46" i="15"/>
  <c r="AB167" i="13"/>
  <c r="AB189" i="13"/>
  <c r="AB68" i="15"/>
  <c r="AD94" i="13"/>
  <c r="Z42" i="15"/>
  <c r="Z30" i="14"/>
  <c r="AD91" i="16"/>
  <c r="N13" i="16" s="1"/>
  <c r="N15" i="16" s="1"/>
  <c r="AB141" i="13"/>
  <c r="AD76" i="13"/>
  <c r="AB163" i="13"/>
  <c r="Z66" i="15"/>
  <c r="Z60" i="15"/>
  <c r="Z40" i="15"/>
  <c r="AB133" i="13"/>
  <c r="AB64" i="15"/>
  <c r="Z32" i="15"/>
  <c r="AB181" i="13"/>
  <c r="AB191" i="13"/>
  <c r="AD52" i="13"/>
  <c r="Z165" i="14"/>
  <c r="AC68" i="14"/>
  <c r="Z127" i="14"/>
  <c r="Z190" i="14" s="1"/>
  <c r="N110" i="14" s="1"/>
  <c r="N112" i="14" s="1"/>
  <c r="Z84" i="14"/>
  <c r="AC84" i="14"/>
  <c r="Z80" i="14"/>
  <c r="AC80" i="14"/>
  <c r="Z60" i="14"/>
  <c r="AC60" i="14"/>
  <c r="Z44" i="14"/>
  <c r="AC44" i="14"/>
  <c r="Z40" i="14"/>
  <c r="AC40" i="14"/>
  <c r="Z28" i="14"/>
  <c r="AC28" i="14"/>
  <c r="R31" i="14"/>
  <c r="R63" i="14"/>
  <c r="R65" i="14"/>
  <c r="I33" i="14"/>
  <c r="I45" i="14"/>
  <c r="I73" i="14"/>
  <c r="Z32" i="14"/>
  <c r="AC32" i="14"/>
  <c r="AB161" i="13"/>
  <c r="AB137" i="13"/>
  <c r="Z82" i="15"/>
  <c r="Z30" i="15"/>
  <c r="R27" i="14"/>
  <c r="AB143" i="13"/>
  <c r="AB127" i="13"/>
  <c r="AB179" i="13"/>
  <c r="AB94" i="13"/>
  <c r="F90" i="13"/>
  <c r="G90" i="13" s="1"/>
  <c r="AA86" i="13"/>
  <c r="AB76" i="13"/>
  <c r="AB74" i="13"/>
  <c r="AB70" i="13"/>
  <c r="S50" i="13"/>
  <c r="Y26" i="13"/>
  <c r="T26" i="13"/>
  <c r="Y25" i="13"/>
  <c r="Y75" i="13" s="1"/>
  <c r="X25" i="13"/>
  <c r="W25" i="13"/>
  <c r="U25" i="13"/>
  <c r="T25" i="13"/>
  <c r="T73" i="13" s="1"/>
  <c r="S25" i="13"/>
  <c r="R25" i="13"/>
  <c r="Q25" i="13"/>
  <c r="L25" i="13"/>
  <c r="K25" i="13"/>
  <c r="I25" i="13"/>
  <c r="H25" i="13"/>
  <c r="G25" i="13"/>
  <c r="I13" i="13"/>
  <c r="K13" i="13" s="1"/>
  <c r="AB97" i="13" s="1"/>
  <c r="Z95" i="15" l="1"/>
  <c r="O13" i="15" s="1"/>
  <c r="O15" i="15" s="1"/>
  <c r="U42" i="13"/>
  <c r="U36" i="13"/>
  <c r="AD36" i="13" s="1"/>
  <c r="AC76" i="14"/>
  <c r="Z46" i="14"/>
  <c r="AD82" i="13"/>
  <c r="AD46" i="13"/>
  <c r="AD50" i="13"/>
  <c r="AD86" i="13"/>
  <c r="AC30" i="14"/>
  <c r="AC64" i="14"/>
  <c r="AB82" i="13"/>
  <c r="AD88" i="13"/>
  <c r="AC66" i="14"/>
  <c r="AB129" i="13"/>
  <c r="AB52" i="13"/>
  <c r="U32" i="13"/>
  <c r="U48" i="13"/>
  <c r="Z34" i="14"/>
  <c r="AC34" i="14"/>
  <c r="H80" i="13"/>
  <c r="I80" i="13" s="1"/>
  <c r="I26" i="13"/>
  <c r="R26" i="13"/>
  <c r="R33" i="13" s="1"/>
  <c r="AB139" i="13"/>
  <c r="AD72" i="13"/>
  <c r="AD78" i="13"/>
  <c r="Q42" i="13"/>
  <c r="R42" i="13" s="1"/>
  <c r="AA42" i="13" s="1"/>
  <c r="AA32" i="13"/>
  <c r="AB46" i="13"/>
  <c r="Q90" i="13"/>
  <c r="R90" i="13" s="1"/>
  <c r="Q28" i="13"/>
  <c r="R28" i="13" s="1"/>
  <c r="AA28" i="13" s="1"/>
  <c r="H48" i="13"/>
  <c r="I48" i="13" s="1"/>
  <c r="Z93" i="14" l="1"/>
  <c r="N13" i="14" s="1"/>
  <c r="N15" i="14" s="1"/>
  <c r="AD34" i="13"/>
  <c r="AD68" i="13"/>
  <c r="AB42" i="13"/>
  <c r="AD64" i="13"/>
  <c r="AD84" i="13"/>
  <c r="AD32" i="13"/>
  <c r="AB48" i="13"/>
  <c r="AD66" i="13"/>
  <c r="AD90" i="13"/>
  <c r="AD40" i="13"/>
  <c r="AD44" i="13"/>
  <c r="AB50" i="13"/>
  <c r="AD92" i="13"/>
  <c r="AD62" i="13"/>
  <c r="AD28" i="13"/>
  <c r="R35" i="13"/>
  <c r="R71" i="13"/>
  <c r="AB30" i="13"/>
  <c r="AD30" i="13"/>
  <c r="AB194" i="13"/>
  <c r="O112" i="13" s="1"/>
  <c r="O114" i="13" s="1"/>
  <c r="AB92" i="13"/>
  <c r="I47" i="13"/>
  <c r="I79" i="13"/>
  <c r="AB80" i="13"/>
  <c r="AB36" i="13"/>
  <c r="AD38" i="13"/>
  <c r="AB88" i="13"/>
  <c r="AB86" i="13"/>
  <c r="AB78" i="13"/>
  <c r="R89" i="13"/>
  <c r="R27" i="13"/>
  <c r="AB62" i="13"/>
  <c r="AB72" i="13"/>
  <c r="G47" i="13"/>
  <c r="G37" i="13"/>
  <c r="AB28" i="13"/>
  <c r="AD42" i="13" l="1"/>
  <c r="AB90" i="13"/>
  <c r="AB66" i="13"/>
  <c r="AB64" i="13"/>
  <c r="AB68" i="13"/>
  <c r="AB40" i="13"/>
  <c r="AD48" i="13"/>
  <c r="AB84" i="13"/>
  <c r="AB34" i="13"/>
  <c r="AB44" i="13"/>
  <c r="AD80" i="13"/>
  <c r="AB32" i="13"/>
  <c r="AB38" i="13"/>
  <c r="AB95" i="13" l="1"/>
  <c r="O13" i="13" s="1"/>
  <c r="O15" i="13" s="1"/>
  <c r="R41" i="13" l="1"/>
</calcChain>
</file>

<file path=xl/sharedStrings.xml><?xml version="1.0" encoding="utf-8"?>
<sst xmlns="http://schemas.openxmlformats.org/spreadsheetml/2006/main" count="3629" uniqueCount="336">
  <si>
    <t>КОДЫ</t>
  </si>
  <si>
    <t>Утверждаю</t>
  </si>
  <si>
    <t>учреждения            (подпись)               (расшифровка подписи)</t>
  </si>
  <si>
    <t>питания (количество)</t>
  </si>
  <si>
    <t>на пер-</t>
  </si>
  <si>
    <t>сонал</t>
  </si>
  <si>
    <t>на довольст-</t>
  </si>
  <si>
    <t>вующихся</t>
  </si>
  <si>
    <t xml:space="preserve">   Расход продуктов</t>
  </si>
  <si>
    <t>изме-</t>
  </si>
  <si>
    <t>рения</t>
  </si>
  <si>
    <t>подлежащих закладке</t>
  </si>
  <si>
    <t>вольствующихся</t>
  </si>
  <si>
    <t>имости одного дня</t>
  </si>
  <si>
    <t xml:space="preserve">    Фактическая</t>
  </si>
  <si>
    <t xml:space="preserve">  имость на всех</t>
  </si>
  <si>
    <t>О  Б  Е  Д</t>
  </si>
  <si>
    <t>П О Л Д Н И К</t>
  </si>
  <si>
    <t>Количество порций</t>
  </si>
  <si>
    <t>Выход - вес порций</t>
  </si>
  <si>
    <t>Сметана</t>
  </si>
  <si>
    <t>Творог</t>
  </si>
  <si>
    <t>Яйцо</t>
  </si>
  <si>
    <t>0504202</t>
  </si>
  <si>
    <t>Рис</t>
  </si>
  <si>
    <t>Пшено</t>
  </si>
  <si>
    <t>Картофель</t>
  </si>
  <si>
    <t>Лук</t>
  </si>
  <si>
    <t>Морковь</t>
  </si>
  <si>
    <t>Чай</t>
  </si>
  <si>
    <t>Повар            ______________     ____________________</t>
  </si>
  <si>
    <t xml:space="preserve">                             (подпись)          (расшифровка подписи)</t>
  </si>
  <si>
    <t>Кладовщик    ______________     ____________________</t>
  </si>
  <si>
    <t xml:space="preserve">     Всего</t>
  </si>
  <si>
    <t>стоимость</t>
  </si>
  <si>
    <t>Плановая</t>
  </si>
  <si>
    <t>операция</t>
  </si>
  <si>
    <t xml:space="preserve">                                                    (подпись)          (расшифровка подписи)</t>
  </si>
  <si>
    <t>руб</t>
  </si>
  <si>
    <t>одного дня,</t>
  </si>
  <si>
    <t xml:space="preserve">     стоимость,</t>
  </si>
  <si>
    <t>Количество продуктов питания, подлежащих закладке</t>
  </si>
  <si>
    <t>Коды категорий довольствующихся</t>
  </si>
  <si>
    <t>(группы)</t>
  </si>
  <si>
    <t>суммарных</t>
  </si>
  <si>
    <t>категорий</t>
  </si>
  <si>
    <t xml:space="preserve">по плановой </t>
  </si>
  <si>
    <t>стоимости</t>
  </si>
  <si>
    <t>одного дня</t>
  </si>
  <si>
    <t>по плановой сто-</t>
  </si>
  <si>
    <t xml:space="preserve">                       (подпись)             (расшифровка подписи)</t>
  </si>
  <si>
    <t>ницa</t>
  </si>
  <si>
    <t>Еди-</t>
  </si>
  <si>
    <t xml:space="preserve">          Продукты питания</t>
  </si>
  <si>
    <t>наименование</t>
  </si>
  <si>
    <t>Численность</t>
  </si>
  <si>
    <t xml:space="preserve">  персонала,</t>
  </si>
  <si>
    <t xml:space="preserve">   чел</t>
  </si>
  <si>
    <t>Плановая стоимость</t>
  </si>
  <si>
    <t>довольствующихся</t>
  </si>
  <si>
    <t>Численность до-</t>
  </si>
  <si>
    <t>Йогурт</t>
  </si>
  <si>
    <t>Батон витам.</t>
  </si>
  <si>
    <t>Компот из сухофруктов</t>
  </si>
  <si>
    <t>Сумма</t>
  </si>
  <si>
    <t>Цена</t>
  </si>
  <si>
    <t>Ко-во</t>
  </si>
  <si>
    <t>Сухофрукты</t>
  </si>
  <si>
    <t>Хлеб ржано-пшеничный</t>
  </si>
  <si>
    <t>10-00</t>
  </si>
  <si>
    <t>Хлеб йодирован. пшен.</t>
  </si>
  <si>
    <t xml:space="preserve"> Форма 0504202   с.2</t>
  </si>
  <si>
    <t>г</t>
  </si>
  <si>
    <t>кг</t>
  </si>
  <si>
    <t>шт</t>
  </si>
  <si>
    <t>Лимонная к-та</t>
  </si>
  <si>
    <t>Мука пшен.</t>
  </si>
  <si>
    <t>Сахар</t>
  </si>
  <si>
    <t>Масло раст.</t>
  </si>
  <si>
    <t>Масло слив.</t>
  </si>
  <si>
    <r>
      <t>Меню-требование на выдачу продуктов питания  N</t>
    </r>
    <r>
      <rPr>
        <sz val="14"/>
        <rFont val="Arial Cyr"/>
        <family val="2"/>
        <charset val="204"/>
      </rPr>
      <t xml:space="preserve"> _______</t>
    </r>
  </si>
  <si>
    <t>Молоко св.</t>
  </si>
  <si>
    <t>Хлеб рж-пшен.</t>
  </si>
  <si>
    <t>Чай с молоком</t>
  </si>
  <si>
    <t xml:space="preserve">Хлеб  йод. пш. </t>
  </si>
  <si>
    <t>3- 7 ЛЕТ</t>
  </si>
  <si>
    <t>Винегрет</t>
  </si>
  <si>
    <t>Свекла стол.</t>
  </si>
  <si>
    <t>Апельсины</t>
  </si>
  <si>
    <t>Лимоны</t>
  </si>
  <si>
    <t>Горошек конс.</t>
  </si>
  <si>
    <t xml:space="preserve">                                                                                                              </t>
  </si>
  <si>
    <t>со сметаной</t>
  </si>
  <si>
    <t>Капуста св. б/к</t>
  </si>
  <si>
    <t>Капуста свеж.</t>
  </si>
  <si>
    <t xml:space="preserve"> </t>
  </si>
  <si>
    <t>городского округа г. Елец</t>
  </si>
  <si>
    <t>Паста том.</t>
  </si>
  <si>
    <t>Томатн. паста</t>
  </si>
  <si>
    <t>Томатная паста</t>
  </si>
  <si>
    <t>Геркулес</t>
  </si>
  <si>
    <t>Капуста св.</t>
  </si>
  <si>
    <t>Повидло</t>
  </si>
  <si>
    <t>Фарш гов.</t>
  </si>
  <si>
    <t>Паста томатная</t>
  </si>
  <si>
    <t>Фрукты свеж.</t>
  </si>
  <si>
    <t>Рагу овощное</t>
  </si>
  <si>
    <t>Сыр</t>
  </si>
  <si>
    <t>З А В Т Р А К</t>
  </si>
  <si>
    <t>Лук репч.</t>
  </si>
  <si>
    <t>Вермишель</t>
  </si>
  <si>
    <t>Цыплята бройл.</t>
  </si>
  <si>
    <t>Кофейн. нап.</t>
  </si>
  <si>
    <t>Цыплята бр.</t>
  </si>
  <si>
    <t>Суп картофельный</t>
  </si>
  <si>
    <t>Компот из с/фруктов</t>
  </si>
  <si>
    <t>Какао</t>
  </si>
  <si>
    <t>Батон  порц.</t>
  </si>
  <si>
    <t>Кофейный напит.</t>
  </si>
  <si>
    <t>Горох</t>
  </si>
  <si>
    <t>Манная кр.</t>
  </si>
  <si>
    <t>Фрукт?</t>
  </si>
  <si>
    <t>Суп-лапша дом.</t>
  </si>
  <si>
    <t>Сок</t>
  </si>
  <si>
    <t>Дрожжи</t>
  </si>
  <si>
    <t xml:space="preserve">Капуста св. б/к </t>
  </si>
  <si>
    <t>Суп мол. с крупой</t>
  </si>
  <si>
    <t>Батон витамин.</t>
  </si>
  <si>
    <t>Батон порц.</t>
  </si>
  <si>
    <t>Яйцо диет.</t>
  </si>
  <si>
    <t>О Б Е Д</t>
  </si>
  <si>
    <t>Фрукты порц.</t>
  </si>
  <si>
    <t>Ряженка</t>
  </si>
  <si>
    <t>Омлет с сыром</t>
  </si>
  <si>
    <t>Минтай с/м  потр.</t>
  </si>
  <si>
    <t>Компот из св. яблок</t>
  </si>
  <si>
    <t>Кислота лим.</t>
  </si>
  <si>
    <t>Салат из свеклы</t>
  </si>
  <si>
    <t>Соль иодиров.</t>
  </si>
  <si>
    <t>Макар, отварные</t>
  </si>
  <si>
    <t>Суп карт. с крупой</t>
  </si>
  <si>
    <t xml:space="preserve">Свекольник </t>
  </si>
  <si>
    <t xml:space="preserve">Минтай с/м потр. </t>
  </si>
  <si>
    <t>Печенье, вафли</t>
  </si>
  <si>
    <t>Печень гов. мор.</t>
  </si>
  <si>
    <t>Кисель из концентрата</t>
  </si>
  <si>
    <t>Кисель конц.</t>
  </si>
  <si>
    <t>Каша гречн. мол. с масл, с сах.</t>
  </si>
  <si>
    <t>Бут. с сыром и масл. сл.</t>
  </si>
  <si>
    <t>10./5./ 20</t>
  </si>
  <si>
    <t>Рис отварной</t>
  </si>
  <si>
    <t>Яблоки св.</t>
  </si>
  <si>
    <t>Каша геркул. с масл. сл.</t>
  </si>
  <si>
    <r>
      <t xml:space="preserve"> </t>
    </r>
    <r>
      <rPr>
        <b/>
        <sz val="10"/>
        <rFont val="Arial Cyr"/>
        <charset val="204"/>
      </rPr>
      <t>и сах.</t>
    </r>
    <r>
      <rPr>
        <b/>
        <sz val="10"/>
        <color rgb="FFFF0000"/>
        <rFont val="Arial Cyr"/>
        <charset val="204"/>
      </rPr>
      <t xml:space="preserve">  150 /3 /3</t>
    </r>
  </si>
  <si>
    <t>Каша "Янтарная"</t>
  </si>
  <si>
    <t>Какао с мол.</t>
  </si>
  <si>
    <t>Молоко кипяченое</t>
  </si>
  <si>
    <t>Макаронн. изд.</t>
  </si>
  <si>
    <t>Каша манн. мол.</t>
  </si>
  <si>
    <t>Сметана в щи</t>
  </si>
  <si>
    <t>Щи из св. капусты</t>
  </si>
  <si>
    <t>Картофель туш.</t>
  </si>
  <si>
    <t>Каша "Дружба"</t>
  </si>
  <si>
    <t>Батон вит.</t>
  </si>
  <si>
    <t>Каша мол.геркул. с масл. сл.</t>
  </si>
  <si>
    <r>
      <t xml:space="preserve"> и сах. </t>
    </r>
    <r>
      <rPr>
        <b/>
        <sz val="10"/>
        <color rgb="FFC00000"/>
        <rFont val="Arial Cyr"/>
        <charset val="204"/>
      </rPr>
      <t>150/ 3/ 3</t>
    </r>
  </si>
  <si>
    <t>Бутерб. с сыром</t>
  </si>
  <si>
    <r>
      <rPr>
        <b/>
        <sz val="10"/>
        <rFont val="Arial Cyr"/>
        <charset val="204"/>
      </rPr>
      <t>и масл. сл.</t>
    </r>
    <r>
      <rPr>
        <b/>
        <sz val="10"/>
        <color rgb="FFC00000"/>
        <rFont val="Arial Cyr"/>
        <charset val="204"/>
      </rPr>
      <t xml:space="preserve"> 10/ 5 \ 20</t>
    </r>
  </si>
  <si>
    <t>Бутерб. с маслом сл.</t>
  </si>
  <si>
    <t xml:space="preserve">  5. /20</t>
  </si>
  <si>
    <t>Суп мол. с вермиш.</t>
  </si>
  <si>
    <t>Батон витаминиз.</t>
  </si>
  <si>
    <t>Запеканка из твор.</t>
  </si>
  <si>
    <t>Соус молочный</t>
  </si>
  <si>
    <t>Компот из апельсинов</t>
  </si>
  <si>
    <t>Свекла ст.</t>
  </si>
  <si>
    <r>
      <t xml:space="preserve">Чай с лимоном </t>
    </r>
    <r>
      <rPr>
        <b/>
        <sz val="10"/>
        <color rgb="FFC00000"/>
        <rFont val="Arial Cyr"/>
        <charset val="204"/>
      </rPr>
      <t>180 /7</t>
    </r>
  </si>
  <si>
    <r>
      <t xml:space="preserve">Чай с лимоном </t>
    </r>
    <r>
      <rPr>
        <b/>
        <sz val="10"/>
        <color rgb="FFC00000"/>
        <rFont val="Arial Cyr"/>
        <charset val="204"/>
      </rPr>
      <t>150 /3,5</t>
    </r>
  </si>
  <si>
    <t>Сыр "Росс"</t>
  </si>
  <si>
    <t>Каша пшенн. молочная</t>
  </si>
  <si>
    <r>
      <rPr>
        <b/>
        <sz val="10"/>
        <rFont val="Arial Cyr"/>
        <charset val="204"/>
      </rPr>
      <t>с м. сл. и сах</t>
    </r>
    <r>
      <rPr>
        <b/>
        <sz val="10"/>
        <color rgb="FFFF0000"/>
        <rFont val="Arial Cyr"/>
        <charset val="204"/>
      </rPr>
      <t xml:space="preserve"> </t>
    </r>
    <r>
      <rPr>
        <b/>
        <sz val="10"/>
        <color rgb="FFC00000"/>
        <rFont val="Arial Cyr"/>
        <charset val="204"/>
      </rPr>
      <t>150/ 3/ 3</t>
    </r>
  </si>
  <si>
    <t>с фрикадельками</t>
  </si>
  <si>
    <t>Каша гречневая</t>
  </si>
  <si>
    <t>Минтай с/м потр.</t>
  </si>
  <si>
    <r>
      <t xml:space="preserve">З А В Т Р А К                                                          </t>
    </r>
    <r>
      <rPr>
        <sz val="10"/>
        <rFont val="Arial Cyr"/>
        <charset val="204"/>
      </rPr>
      <t xml:space="preserve">  10-00</t>
    </r>
  </si>
  <si>
    <t>Печень, тушенн. в соуе</t>
  </si>
  <si>
    <t>40 / 40</t>
  </si>
  <si>
    <t>Гречневая кр.</t>
  </si>
  <si>
    <t xml:space="preserve">           З А В Т Р А К                                                                                                10-00              </t>
  </si>
  <si>
    <t>Компот из св/фруктов</t>
  </si>
  <si>
    <t>Форма по ОКУД</t>
  </si>
  <si>
    <t>Дата</t>
  </si>
  <si>
    <t>По ОКПО</t>
  </si>
  <si>
    <t xml:space="preserve">Материально ответственное лицо  </t>
  </si>
  <si>
    <r>
      <t xml:space="preserve">Учреждение </t>
    </r>
    <r>
      <rPr>
        <b/>
        <sz val="8"/>
        <rFont val="Arial Cyr"/>
        <charset val="204"/>
      </rPr>
      <t xml:space="preserve"> </t>
    </r>
    <r>
      <rPr>
        <b/>
        <u/>
        <sz val="10"/>
        <rFont val="Arial Cyr"/>
        <charset val="204"/>
      </rPr>
      <t>У</t>
    </r>
    <r>
      <rPr>
        <b/>
        <i/>
        <u/>
        <sz val="10"/>
        <rFont val="Arial Cyr"/>
        <charset val="204"/>
      </rPr>
      <t xml:space="preserve">О администрации </t>
    </r>
  </si>
  <si>
    <r>
      <t xml:space="preserve">Структурное подразделение </t>
    </r>
    <r>
      <rPr>
        <b/>
        <i/>
        <u/>
        <sz val="12"/>
        <rFont val="Arial Cyr"/>
        <charset val="204"/>
      </rPr>
      <t xml:space="preserve"> МБДОУ </t>
    </r>
  </si>
  <si>
    <t>Числ.</t>
  </si>
  <si>
    <t>персон.</t>
  </si>
  <si>
    <t>чел.</t>
  </si>
  <si>
    <r>
      <t xml:space="preserve"> По</t>
    </r>
    <r>
      <rPr>
        <sz val="7"/>
        <rFont val="Arial Cyr"/>
        <charset val="204"/>
      </rPr>
      <t xml:space="preserve"> ОКПО</t>
    </r>
  </si>
  <si>
    <r>
      <t xml:space="preserve">      Меню-требование на выдачу продуктов питания  N</t>
    </r>
    <r>
      <rPr>
        <sz val="14"/>
        <rFont val="Arial Cyr"/>
        <family val="2"/>
        <charset val="204"/>
      </rPr>
      <t xml:space="preserve"> _______</t>
    </r>
  </si>
  <si>
    <t>1 - 3 ЛЕТ</t>
  </si>
  <si>
    <t>3 - 7 ЛЕТ</t>
  </si>
  <si>
    <t xml:space="preserve">                                 З А В Т Р А К                                                                                                       </t>
  </si>
  <si>
    <t>Икра кабачк.</t>
  </si>
  <si>
    <t>Горошек консерв.</t>
  </si>
  <si>
    <t>Бут.. с масл. сл. и сыром</t>
  </si>
  <si>
    <t>Суп из овощей</t>
  </si>
  <si>
    <t>Макаронные изд отв.</t>
  </si>
  <si>
    <t xml:space="preserve">Гуляш  </t>
  </si>
  <si>
    <r>
      <t xml:space="preserve">из отв. говяд. </t>
    </r>
    <r>
      <rPr>
        <b/>
        <sz val="10"/>
        <color rgb="FFC00000"/>
        <rFont val="Arial Cyr"/>
        <charset val="204"/>
      </rPr>
      <t>50/50</t>
    </r>
  </si>
  <si>
    <t>Булочка "Веснушка"</t>
  </si>
  <si>
    <t>Кофейный напиток</t>
  </si>
  <si>
    <t>Мясо гов.</t>
  </si>
  <si>
    <t xml:space="preserve">Яйцо </t>
  </si>
  <si>
    <t>Морковь св.</t>
  </si>
  <si>
    <t>Кофейн.напит.</t>
  </si>
  <si>
    <t>Огурцы  конс.</t>
  </si>
  <si>
    <t>"08"   января  2024  г.</t>
  </si>
  <si>
    <t>1- 3 ЛЕТ</t>
  </si>
  <si>
    <r>
      <rPr>
        <sz val="8"/>
        <rFont val="Arial Cyr"/>
        <charset val="204"/>
      </rPr>
      <t>на</t>
    </r>
    <r>
      <rPr>
        <b/>
        <sz val="16"/>
        <rFont val="Arial Cyr"/>
        <family val="2"/>
        <charset val="204"/>
      </rPr>
      <t xml:space="preserve"> </t>
    </r>
    <r>
      <rPr>
        <b/>
        <i/>
        <sz val="16"/>
        <rFont val="Arial Cyr"/>
        <charset val="204"/>
      </rPr>
      <t>"09" января  2024 г</t>
    </r>
  </si>
  <si>
    <r>
      <rPr>
        <sz val="8"/>
        <rFont val="Arial Cyr"/>
        <charset val="204"/>
      </rPr>
      <t>на</t>
    </r>
    <r>
      <rPr>
        <b/>
        <sz val="16"/>
        <rFont val="Arial Cyr"/>
        <family val="2"/>
        <charset val="204"/>
      </rPr>
      <t xml:space="preserve">  "09" января  2024 г</t>
    </r>
  </si>
  <si>
    <r>
      <rPr>
        <sz val="8"/>
        <rFont val="Arial Cyr"/>
        <charset val="204"/>
      </rPr>
      <t>на</t>
    </r>
    <r>
      <rPr>
        <b/>
        <sz val="16"/>
        <rFont val="Arial Cyr"/>
        <family val="2"/>
        <charset val="204"/>
      </rPr>
      <t xml:space="preserve"> "09" января  2024 г</t>
    </r>
  </si>
  <si>
    <r>
      <t xml:space="preserve"> </t>
    </r>
    <r>
      <rPr>
        <sz val="8"/>
        <rFont val="Arial Cyr"/>
        <charset val="204"/>
      </rPr>
      <t>на</t>
    </r>
    <r>
      <rPr>
        <b/>
        <sz val="16"/>
        <rFont val="Arial Cyr"/>
        <family val="2"/>
        <charset val="204"/>
      </rPr>
      <t xml:space="preserve"> "09" января  2024 г</t>
    </r>
  </si>
  <si>
    <r>
      <rPr>
        <sz val="8"/>
        <rFont val="Arial Cyr"/>
        <charset val="204"/>
      </rPr>
      <t>на</t>
    </r>
    <r>
      <rPr>
        <b/>
        <sz val="16"/>
        <rFont val="Arial Cyr"/>
        <family val="2"/>
        <charset val="204"/>
      </rPr>
      <t>"09" января  2024 г</t>
    </r>
  </si>
  <si>
    <t>Зефир</t>
  </si>
  <si>
    <t>Тефтели из печени с рисом</t>
  </si>
  <si>
    <t>Соус молочный слад.</t>
  </si>
  <si>
    <t>Соус молочный для запек.</t>
  </si>
  <si>
    <t>Молоко кип.</t>
  </si>
  <si>
    <t>Манная крупа</t>
  </si>
  <si>
    <t>Салат карт. с горош.</t>
  </si>
  <si>
    <t xml:space="preserve">                              З А В Т Р А К                                                                             10-00                                 </t>
  </si>
  <si>
    <t>Рыба тушен. с овощами</t>
  </si>
  <si>
    <t>Чай с сахаром</t>
  </si>
  <si>
    <t>Суп карт. с клецками</t>
  </si>
  <si>
    <t xml:space="preserve">Пудинг из творога с рис. </t>
  </si>
  <si>
    <t>Печ-е, вафли</t>
  </si>
  <si>
    <t>Салат из морк. и яблок</t>
  </si>
  <si>
    <t xml:space="preserve">З А В Т Р А К                                                                         10-00                                                              </t>
  </si>
  <si>
    <t>Шницель из курицы</t>
  </si>
  <si>
    <t>Сок фр.</t>
  </si>
  <si>
    <t>Сок фруковый</t>
  </si>
  <si>
    <t>Яйцо вареное</t>
  </si>
  <si>
    <t>Голубцы ленивые</t>
  </si>
  <si>
    <t>Салат из свеж. капусты</t>
  </si>
  <si>
    <t>Жаркое по-домашнему</t>
  </si>
  <si>
    <t>с печенью</t>
  </si>
  <si>
    <t>Чай с лимоном</t>
  </si>
  <si>
    <t>Яблоки свежие</t>
  </si>
  <si>
    <t>Фарш говяжий</t>
  </si>
  <si>
    <t>Печень  гов.</t>
  </si>
  <si>
    <t>Соус для голубцов</t>
  </si>
  <si>
    <t>Суп картоф. с горохом</t>
  </si>
  <si>
    <t>Мясо  гов.</t>
  </si>
  <si>
    <t>Напиток из шиповника</t>
  </si>
  <si>
    <t>Рыба, запеч. с овощами</t>
  </si>
  <si>
    <t>Макар. изд.</t>
  </si>
  <si>
    <t>Мясо в щи</t>
  </si>
  <si>
    <t>Шиповник</t>
  </si>
  <si>
    <t>30 /30</t>
  </si>
  <si>
    <t>Сал из св. капусты</t>
  </si>
  <si>
    <t>Сырники из творога</t>
  </si>
  <si>
    <t>Масло сл. к сырникам</t>
  </si>
  <si>
    <t>любительские</t>
  </si>
  <si>
    <t>Котлеты рыбные</t>
  </si>
  <si>
    <t>Печенье, вафли порц.</t>
  </si>
  <si>
    <t>Сок фрукт.</t>
  </si>
  <si>
    <t>Печ., вафли</t>
  </si>
  <si>
    <t xml:space="preserve">З А В Т Р А К                                                         </t>
  </si>
  <si>
    <t>Икра кабачк. порц.</t>
  </si>
  <si>
    <t>Салат из моркови</t>
  </si>
  <si>
    <t>Рыба в суп</t>
  </si>
  <si>
    <t>Суп картоф. с рыбой</t>
  </si>
  <si>
    <t>Биточек из гов.</t>
  </si>
  <si>
    <t>Омлет нат.</t>
  </si>
  <si>
    <t>Пудинг из творога</t>
  </si>
  <si>
    <t>с соусом смолочным</t>
  </si>
  <si>
    <t>Кисель из конц.</t>
  </si>
  <si>
    <t>Огурцы конс.</t>
  </si>
  <si>
    <t xml:space="preserve">Плов </t>
  </si>
  <si>
    <t>Мясо цыпл. бр.  в плов</t>
  </si>
  <si>
    <t>Бутерб. с маслом</t>
  </si>
  <si>
    <r>
      <t xml:space="preserve">с масл, с сах </t>
    </r>
    <r>
      <rPr>
        <b/>
        <sz val="10"/>
        <color rgb="FFC00000"/>
        <rFont val="Arial Cyr"/>
        <charset val="204"/>
      </rPr>
      <t>150/ 3 /3</t>
    </r>
  </si>
  <si>
    <t>Фрукт порц.</t>
  </si>
  <si>
    <t>Рассольник лен.</t>
  </si>
  <si>
    <t>Сметана в суп</t>
  </si>
  <si>
    <t>Бефстроганов</t>
  </si>
  <si>
    <t>50 / 50</t>
  </si>
  <si>
    <t>Ватрушка с повидлом</t>
  </si>
  <si>
    <t>Дрожжи  сух</t>
  </si>
  <si>
    <t>Крупа перл.</t>
  </si>
  <si>
    <t>Мясо гов. мор.</t>
  </si>
  <si>
    <t>40 /40</t>
  </si>
  <si>
    <t>Мясо в суп</t>
  </si>
  <si>
    <t xml:space="preserve"> Мясо цыплят  в суп</t>
  </si>
  <si>
    <r>
      <t xml:space="preserve">из отв. говяд. </t>
    </r>
    <r>
      <rPr>
        <b/>
        <sz val="10"/>
        <color rgb="FFC00000"/>
        <rFont val="Arial Cyr"/>
        <charset val="204"/>
      </rPr>
      <t>40/40</t>
    </r>
  </si>
  <si>
    <t>10./  5. /20</t>
  </si>
  <si>
    <t xml:space="preserve">Ряженка </t>
  </si>
  <si>
    <r>
      <t xml:space="preserve">с  масл. с сах. </t>
    </r>
    <r>
      <rPr>
        <b/>
        <sz val="10"/>
        <color rgb="FFC00000"/>
        <rFont val="Arial Cyr"/>
        <charset val="204"/>
      </rPr>
      <t>100 /3 /2</t>
    </r>
  </si>
  <si>
    <t xml:space="preserve"> 5 \ 20</t>
  </si>
  <si>
    <t>Картофель в молоке</t>
  </si>
  <si>
    <t>Изюм</t>
  </si>
  <si>
    <t>Изюм.</t>
  </si>
  <si>
    <t>Крупа пшено</t>
  </si>
  <si>
    <t>Крупа рис</t>
  </si>
  <si>
    <t xml:space="preserve">З А В Т Р А К                                    </t>
  </si>
  <si>
    <r>
      <t xml:space="preserve">Структурное подразделение </t>
    </r>
    <r>
      <rPr>
        <b/>
        <i/>
        <u/>
        <sz val="12"/>
        <rFont val="Arial Cyr"/>
        <charset val="204"/>
      </rPr>
      <t xml:space="preserve"> МАДОУ </t>
    </r>
  </si>
  <si>
    <t>"Детский сад № 31 г. Ельца"</t>
  </si>
  <si>
    <t>Глухова Г.В.</t>
  </si>
  <si>
    <t>Руководитель     ____________         __Авдеева М.В.</t>
  </si>
  <si>
    <t>Бухгалтер  ______________     __Бородина Т.Е.</t>
  </si>
  <si>
    <t>Врач  (диетсестра)            ______________     __Авдеева М.В.</t>
  </si>
  <si>
    <t>Руководитель     ____________         _Авдеева М.В.</t>
  </si>
  <si>
    <t>Кладовщик    ______________     _Глухова Г.В.</t>
  </si>
  <si>
    <t>Бухгалтер  ______________     _Бородина Т.Е.</t>
  </si>
  <si>
    <t>Бухгалтер  ______________     ___Бородина Т.Е.</t>
  </si>
  <si>
    <t>Бухгалтер  ______________     _Бородина Т.Е._</t>
  </si>
  <si>
    <t>Врач  (диетсестра)            ______________     ___Авдеева М.В._</t>
  </si>
  <si>
    <t>Руководитель     ____________         ___Авдеева М.В._</t>
  </si>
  <si>
    <t>Врач  (диетсестра)            ______________     __Авдеева М.В._</t>
  </si>
  <si>
    <t>Руководитель     ____________         __Авдеева М.В._</t>
  </si>
  <si>
    <t>Руководитель     ____________         ____Авдеева М.В._</t>
  </si>
  <si>
    <t>Врач  (диетсестра)            ______________     __Авдеева М.В.__</t>
  </si>
  <si>
    <t>Руководитель     ____________         ___Авдеева М.В.__</t>
  </si>
  <si>
    <t>Руководитель     ____________         ___Авдеева М.В.___</t>
  </si>
  <si>
    <t>Руководитель     ____________         ____Авдеева М.В.___</t>
  </si>
  <si>
    <t>Врач  (диетсестра)            ______________     ___Авдеева М.В.__</t>
  </si>
  <si>
    <t xml:space="preserve">                                          Врач  (диетсестра)            ______________     __Авдеева М.В._</t>
  </si>
  <si>
    <t xml:space="preserve">                                          Врач  (диетсестра)            ______________     ___Авдеева М.В._</t>
  </si>
  <si>
    <t>Кладовщик    ______________     __Глухова Г.В.</t>
  </si>
  <si>
    <t>Кладовщик    ______________     ____Глухова Г.В.</t>
  </si>
  <si>
    <t>"Детский сад №31 г. Ельца"</t>
  </si>
  <si>
    <t>Кладовщик    ______________     ___Глухова Г.В.</t>
  </si>
  <si>
    <t>Кладовщик    ______________     _Глухова Г.В.__</t>
  </si>
  <si>
    <t xml:space="preserve">                           Кладовщик    ______________     __Глухова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</si>
</sst>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9">
    <font>
      <sz val="10"/>
      <name val="Pragmatica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i/>
      <sz val="8"/>
      <name val="Arial Cyr"/>
      <charset val="204"/>
    </font>
    <font>
      <sz val="8"/>
      <name val="Pragmatica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8"/>
      <name val="Arial Cyr"/>
      <family val="2"/>
      <charset val="204"/>
    </font>
    <font>
      <sz val="12"/>
      <name val="Arial Cyr"/>
      <family val="2"/>
      <charset val="204"/>
    </font>
    <font>
      <sz val="10"/>
      <color rgb="FFFF0000"/>
      <name val="Pragmatica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1"/>
      <name val="Arial Cyr"/>
      <charset val="204"/>
    </font>
    <font>
      <sz val="9"/>
      <name val="Arial Cyr"/>
      <charset val="204"/>
    </font>
    <font>
      <i/>
      <sz val="7"/>
      <name val="Arial Cyr"/>
      <charset val="204"/>
    </font>
    <font>
      <b/>
      <i/>
      <sz val="14"/>
      <name val="Arial Cyr"/>
      <charset val="204"/>
    </font>
    <font>
      <sz val="10"/>
      <color rgb="FFFF0000"/>
      <name val="Pragmatica"/>
      <charset val="204"/>
    </font>
    <font>
      <b/>
      <i/>
      <sz val="10"/>
      <name val="Arial Cyr"/>
      <family val="2"/>
      <charset val="204"/>
    </font>
    <font>
      <b/>
      <i/>
      <sz val="11"/>
      <name val="Arial Cyr"/>
      <charset val="204"/>
    </font>
    <font>
      <b/>
      <i/>
      <sz val="10"/>
      <name val="Pragmatica"/>
    </font>
    <font>
      <b/>
      <i/>
      <sz val="11"/>
      <name val="Arial Cyr"/>
      <family val="2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sz val="10"/>
      <color rgb="FFFF0000"/>
      <name val="Arial Cyr"/>
      <charset val="204"/>
    </font>
    <font>
      <sz val="7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sz val="10"/>
      <name val="Pragmatica"/>
    </font>
    <font>
      <b/>
      <sz val="10"/>
      <name val="Arial Cyr"/>
      <family val="2"/>
      <charset val="204"/>
    </font>
    <font>
      <i/>
      <sz val="12"/>
      <name val="Arial Cyr"/>
      <charset val="204"/>
    </font>
    <font>
      <b/>
      <sz val="9"/>
      <name val="Arial Cyr"/>
      <family val="2"/>
      <charset val="204"/>
    </font>
    <font>
      <b/>
      <sz val="10"/>
      <color rgb="FFC00000"/>
      <name val="Arial Cyr"/>
      <charset val="204"/>
    </font>
    <font>
      <i/>
      <sz val="10"/>
      <name val="Pragmatica"/>
      <charset val="204"/>
    </font>
    <font>
      <sz val="8"/>
      <name val="Pragmatica"/>
    </font>
    <font>
      <b/>
      <sz val="16"/>
      <name val="Arial Cyr"/>
      <family val="2"/>
      <charset val="204"/>
    </font>
    <font>
      <b/>
      <sz val="16"/>
      <name val="Pragmatica"/>
    </font>
    <font>
      <b/>
      <sz val="16"/>
      <name val="Arial Cyr"/>
      <charset val="204"/>
    </font>
    <font>
      <b/>
      <u/>
      <sz val="1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Pragmatica"/>
      <charset val="204"/>
    </font>
    <font>
      <b/>
      <i/>
      <u/>
      <sz val="12"/>
      <name val="Arial Cyr"/>
      <charset val="204"/>
    </font>
    <font>
      <b/>
      <i/>
      <u/>
      <sz val="14"/>
      <name val="Pragmatica"/>
      <charset val="204"/>
    </font>
    <font>
      <sz val="7"/>
      <name val="Arial Cyr"/>
      <charset val="204"/>
    </font>
    <font>
      <b/>
      <i/>
      <sz val="16"/>
      <name val="Arial Cyr"/>
      <charset val="204"/>
    </font>
    <font>
      <b/>
      <i/>
      <sz val="16"/>
      <name val="Pragmatica"/>
    </font>
    <font>
      <sz val="10"/>
      <name val="Pragmatica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Continuous"/>
    </xf>
    <xf numFmtId="0" fontId="2" fillId="0" borderId="10" xfId="0" applyFont="1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/>
    <xf numFmtId="0" fontId="2" fillId="0" borderId="8" xfId="0" applyFont="1" applyBorder="1" applyAlignment="1">
      <alignment horizontal="left"/>
    </xf>
    <xf numFmtId="0" fontId="0" fillId="0" borderId="6" xfId="0" applyBorder="1"/>
    <xf numFmtId="0" fontId="2" fillId="0" borderId="8" xfId="0" applyFont="1" applyBorder="1"/>
    <xf numFmtId="0" fontId="2" fillId="0" borderId="14" xfId="0" applyFont="1" applyBorder="1"/>
    <xf numFmtId="0" fontId="0" fillId="0" borderId="1" xfId="0" applyBorder="1"/>
    <xf numFmtId="0" fontId="2" fillId="0" borderId="15" xfId="0" applyFont="1" applyBorder="1"/>
    <xf numFmtId="0" fontId="0" fillId="0" borderId="0" xfId="0" applyBorder="1"/>
    <xf numFmtId="0" fontId="2" fillId="0" borderId="0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18" xfId="0" applyBorder="1"/>
    <xf numFmtId="0" fontId="2" fillId="0" borderId="21" xfId="0" applyFont="1" applyBorder="1"/>
    <xf numFmtId="0" fontId="2" fillId="0" borderId="1" xfId="0" applyFont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0" fillId="0" borderId="24" xfId="0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6" xfId="0" applyFont="1" applyBorder="1"/>
    <xf numFmtId="0" fontId="2" fillId="0" borderId="12" xfId="0" applyFont="1" applyBorder="1"/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9" xfId="0" applyBorder="1"/>
    <xf numFmtId="49" fontId="2" fillId="0" borderId="3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wrapText="1"/>
    </xf>
    <xf numFmtId="0" fontId="3" fillId="0" borderId="35" xfId="0" applyFont="1" applyBorder="1"/>
    <xf numFmtId="0" fontId="3" fillId="0" borderId="36" xfId="0" applyFont="1" applyBorder="1"/>
    <xf numFmtId="0" fontId="0" fillId="0" borderId="26" xfId="0" applyBorder="1"/>
    <xf numFmtId="0" fontId="6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/>
    </xf>
    <xf numFmtId="0" fontId="0" fillId="0" borderId="37" xfId="0" applyBorder="1"/>
    <xf numFmtId="0" fontId="0" fillId="0" borderId="38" xfId="0" applyBorder="1"/>
    <xf numFmtId="0" fontId="3" fillId="0" borderId="14" xfId="0" applyFont="1" applyBorder="1"/>
    <xf numFmtId="0" fontId="3" fillId="0" borderId="39" xfId="0" applyFont="1" applyBorder="1"/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3" fillId="0" borderId="42" xfId="0" applyFont="1" applyBorder="1"/>
    <xf numFmtId="0" fontId="3" fillId="0" borderId="45" xfId="0" applyFont="1" applyBorder="1"/>
    <xf numFmtId="0" fontId="3" fillId="0" borderId="43" xfId="0" applyFont="1" applyBorder="1"/>
    <xf numFmtId="0" fontId="2" fillId="0" borderId="29" xfId="0" applyFont="1" applyBorder="1" applyAlignment="1">
      <alignment horizontal="center" vertical="center"/>
    </xf>
    <xf numFmtId="2" fontId="3" fillId="0" borderId="50" xfId="0" applyNumberFormat="1" applyFont="1" applyBorder="1"/>
    <xf numFmtId="2" fontId="3" fillId="0" borderId="3" xfId="0" applyNumberFormat="1" applyFont="1" applyBorder="1"/>
    <xf numFmtId="2" fontId="3" fillId="0" borderId="11" xfId="0" applyNumberFormat="1" applyFont="1" applyBorder="1"/>
    <xf numFmtId="0" fontId="2" fillId="2" borderId="2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35" xfId="0" applyFont="1" applyFill="1" applyBorder="1"/>
    <xf numFmtId="0" fontId="3" fillId="2" borderId="2" xfId="0" applyNumberFormat="1" applyFont="1" applyFill="1" applyBorder="1"/>
    <xf numFmtId="0" fontId="2" fillId="0" borderId="28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1" fillId="2" borderId="34" xfId="0" applyNumberFormat="1" applyFont="1" applyFill="1" applyBorder="1"/>
    <xf numFmtId="0" fontId="9" fillId="0" borderId="54" xfId="0" applyFont="1" applyBorder="1"/>
    <xf numFmtId="0" fontId="9" fillId="0" borderId="55" xfId="0" applyNumberFormat="1" applyFont="1" applyBorder="1"/>
    <xf numFmtId="0" fontId="9" fillId="0" borderId="57" xfId="0" applyFont="1" applyBorder="1"/>
    <xf numFmtId="0" fontId="9" fillId="0" borderId="58" xfId="0" applyNumberFormat="1" applyFont="1" applyBorder="1"/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/>
    <xf numFmtId="0" fontId="11" fillId="2" borderId="4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2" fillId="2" borderId="9" xfId="0" applyFont="1" applyFill="1" applyBorder="1"/>
    <xf numFmtId="0" fontId="12" fillId="2" borderId="51" xfId="0" applyFont="1" applyFill="1" applyBorder="1"/>
    <xf numFmtId="0" fontId="3" fillId="2" borderId="2" xfId="0" applyFont="1" applyFill="1" applyBorder="1"/>
    <xf numFmtId="2" fontId="2" fillId="0" borderId="2" xfId="0" applyNumberFormat="1" applyFont="1" applyBorder="1"/>
    <xf numFmtId="0" fontId="14" fillId="0" borderId="55" xfId="0" applyNumberFormat="1" applyFont="1" applyBorder="1"/>
    <xf numFmtId="0" fontId="2" fillId="2" borderId="34" xfId="0" applyNumberFormat="1" applyFont="1" applyFill="1" applyBorder="1"/>
    <xf numFmtId="0" fontId="15" fillId="2" borderId="43" xfId="0" applyFont="1" applyFill="1" applyBorder="1"/>
    <xf numFmtId="0" fontId="2" fillId="2" borderId="43" xfId="0" applyFont="1" applyFill="1" applyBorder="1"/>
    <xf numFmtId="0" fontId="9" fillId="2" borderId="55" xfId="0" applyNumberFormat="1" applyFont="1" applyFill="1" applyBorder="1"/>
    <xf numFmtId="0" fontId="9" fillId="2" borderId="2" xfId="0" applyNumberFormat="1" applyFont="1" applyFill="1" applyBorder="1"/>
    <xf numFmtId="0" fontId="9" fillId="2" borderId="1" xfId="0" applyFont="1" applyFill="1" applyBorder="1"/>
    <xf numFmtId="0" fontId="9" fillId="2" borderId="35" xfId="0" applyFont="1" applyFill="1" applyBorder="1"/>
    <xf numFmtId="0" fontId="5" fillId="2" borderId="35" xfId="0" applyFont="1" applyFill="1" applyBorder="1"/>
    <xf numFmtId="0" fontId="9" fillId="2" borderId="2" xfId="0" applyFont="1" applyFill="1" applyBorder="1"/>
    <xf numFmtId="2" fontId="11" fillId="2" borderId="34" xfId="0" applyNumberFormat="1" applyFont="1" applyFill="1" applyBorder="1"/>
    <xf numFmtId="2" fontId="2" fillId="2" borderId="43" xfId="0" applyNumberFormat="1" applyFont="1" applyFill="1" applyBorder="1"/>
    <xf numFmtId="0" fontId="1" fillId="0" borderId="0" xfId="0" applyFont="1" applyAlignment="1"/>
    <xf numFmtId="2" fontId="3" fillId="0" borderId="12" xfId="0" applyNumberFormat="1" applyFont="1" applyBorder="1"/>
    <xf numFmtId="2" fontId="3" fillId="0" borderId="7" xfId="0" applyNumberFormat="1" applyFont="1" applyBorder="1"/>
    <xf numFmtId="2" fontId="16" fillId="0" borderId="0" xfId="0" applyNumberFormat="1" applyFont="1"/>
    <xf numFmtId="1" fontId="12" fillId="2" borderId="51" xfId="0" applyNumberFormat="1" applyFont="1" applyFill="1" applyBorder="1"/>
    <xf numFmtId="0" fontId="2" fillId="0" borderId="0" xfId="0" applyFont="1" applyAlignment="1"/>
    <xf numFmtId="2" fontId="7" fillId="0" borderId="2" xfId="0" applyNumberFormat="1" applyFont="1" applyBorder="1"/>
    <xf numFmtId="0" fontId="7" fillId="0" borderId="2" xfId="0" applyFont="1" applyBorder="1"/>
    <xf numFmtId="2" fontId="19" fillId="0" borderId="60" xfId="0" applyNumberFormat="1" applyFont="1" applyBorder="1"/>
    <xf numFmtId="2" fontId="19" fillId="0" borderId="14" xfId="0" applyNumberFormat="1" applyFont="1" applyBorder="1"/>
    <xf numFmtId="0" fontId="19" fillId="0" borderId="3" xfId="0" applyFont="1" applyBorder="1"/>
    <xf numFmtId="2" fontId="19" fillId="0" borderId="11" xfId="0" applyNumberFormat="1" applyFont="1" applyBorder="1"/>
    <xf numFmtId="0" fontId="3" fillId="2" borderId="43" xfId="0" applyFont="1" applyFill="1" applyBorder="1"/>
    <xf numFmtId="2" fontId="3" fillId="2" borderId="43" xfId="0" applyNumberFormat="1" applyFont="1" applyFill="1" applyBorder="1"/>
    <xf numFmtId="2" fontId="10" fillId="2" borderId="34" xfId="0" applyNumberFormat="1" applyFont="1" applyFill="1" applyBorder="1"/>
    <xf numFmtId="0" fontId="3" fillId="2" borderId="42" xfId="0" applyFont="1" applyFill="1" applyBorder="1"/>
    <xf numFmtId="0" fontId="10" fillId="2" borderId="34" xfId="0" applyNumberFormat="1" applyFont="1" applyFill="1" applyBorder="1"/>
    <xf numFmtId="2" fontId="7" fillId="0" borderId="6" xfId="0" applyNumberFormat="1" applyFont="1" applyBorder="1"/>
    <xf numFmtId="0" fontId="7" fillId="0" borderId="2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2" fontId="2" fillId="2" borderId="34" xfId="0" applyNumberFormat="1" applyFont="1" applyFill="1" applyBorder="1"/>
    <xf numFmtId="0" fontId="9" fillId="2" borderId="57" xfId="0" applyFont="1" applyFill="1" applyBorder="1"/>
    <xf numFmtId="0" fontId="19" fillId="0" borderId="28" xfId="0" applyFont="1" applyBorder="1"/>
    <xf numFmtId="0" fontId="19" fillId="0" borderId="8" xfId="0" applyFont="1" applyBorder="1"/>
    <xf numFmtId="0" fontId="7" fillId="2" borderId="2" xfId="0" applyFont="1" applyFill="1" applyBorder="1" applyAlignment="1">
      <alignment horizontal="left" wrapText="1"/>
    </xf>
    <xf numFmtId="2" fontId="2" fillId="2" borderId="42" xfId="0" applyNumberFormat="1" applyFont="1" applyFill="1" applyBorder="1"/>
    <xf numFmtId="2" fontId="15" fillId="2" borderId="43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2" borderId="49" xfId="0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9" fillId="2" borderId="2" xfId="0" applyNumberFormat="1" applyFont="1" applyFill="1" applyBorder="1"/>
    <xf numFmtId="2" fontId="20" fillId="2" borderId="34" xfId="0" applyNumberFormat="1" applyFont="1" applyFill="1" applyBorder="1"/>
    <xf numFmtId="2" fontId="4" fillId="2" borderId="43" xfId="0" applyNumberFormat="1" applyFont="1" applyFill="1" applyBorder="1"/>
    <xf numFmtId="0" fontId="4" fillId="2" borderId="43" xfId="0" applyFont="1" applyFill="1" applyBorder="1"/>
    <xf numFmtId="2" fontId="3" fillId="2" borderId="42" xfId="0" applyNumberFormat="1" applyFont="1" applyFill="1" applyBorder="1"/>
    <xf numFmtId="2" fontId="4" fillId="2" borderId="42" xfId="0" applyNumberFormat="1" applyFont="1" applyFill="1" applyBorder="1"/>
    <xf numFmtId="0" fontId="3" fillId="2" borderId="34" xfId="0" applyNumberFormat="1" applyFont="1" applyFill="1" applyBorder="1"/>
    <xf numFmtId="2" fontId="3" fillId="2" borderId="34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19" fillId="2" borderId="7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2" borderId="59" xfId="0" applyNumberFormat="1" applyFont="1" applyFill="1" applyBorder="1"/>
    <xf numFmtId="0" fontId="11" fillId="2" borderId="3" xfId="0" applyNumberFormat="1" applyFont="1" applyFill="1" applyBorder="1"/>
    <xf numFmtId="0" fontId="11" fillId="2" borderId="11" xfId="0" applyNumberFormat="1" applyFont="1" applyFill="1" applyBorder="1"/>
    <xf numFmtId="2" fontId="19" fillId="0" borderId="61" xfId="0" applyNumberFormat="1" applyFont="1" applyBorder="1"/>
    <xf numFmtId="0" fontId="0" fillId="0" borderId="0" xfId="0" applyFont="1"/>
    <xf numFmtId="2" fontId="3" fillId="0" borderId="8" xfId="0" applyNumberFormat="1" applyFont="1" applyBorder="1"/>
    <xf numFmtId="2" fontId="3" fillId="0" borderId="6" xfId="0" applyNumberFormat="1" applyFont="1" applyBorder="1"/>
    <xf numFmtId="2" fontId="23" fillId="0" borderId="0" xfId="0" applyNumberFormat="1" applyFont="1"/>
    <xf numFmtId="0" fontId="12" fillId="3" borderId="1" xfId="0" applyFont="1" applyFill="1" applyBorder="1"/>
    <xf numFmtId="0" fontId="9" fillId="5" borderId="54" xfId="0" applyFont="1" applyFill="1" applyBorder="1"/>
    <xf numFmtId="2" fontId="24" fillId="4" borderId="0" xfId="0" applyNumberFormat="1" applyFont="1" applyFill="1"/>
    <xf numFmtId="2" fontId="25" fillId="0" borderId="60" xfId="0" applyNumberFormat="1" applyFont="1" applyBorder="1"/>
    <xf numFmtId="164" fontId="24" fillId="4" borderId="0" xfId="0" applyNumberFormat="1" applyFont="1" applyFill="1"/>
    <xf numFmtId="2" fontId="24" fillId="4" borderId="24" xfId="0" applyNumberFormat="1" applyFont="1" applyFill="1" applyBorder="1"/>
    <xf numFmtId="0" fontId="26" fillId="0" borderId="0" xfId="0" applyFont="1"/>
    <xf numFmtId="0" fontId="24" fillId="0" borderId="0" xfId="0" applyFont="1"/>
    <xf numFmtId="2" fontId="27" fillId="4" borderId="0" xfId="0" applyNumberFormat="1" applyFont="1" applyFill="1"/>
    <xf numFmtId="164" fontId="27" fillId="4" borderId="0" xfId="0" applyNumberFormat="1" applyFont="1" applyFill="1"/>
    <xf numFmtId="0" fontId="24" fillId="0" borderId="18" xfId="0" applyFont="1" applyBorder="1"/>
    <xf numFmtId="2" fontId="25" fillId="0" borderId="11" xfId="0" applyNumberFormat="1" applyFont="1" applyBorder="1"/>
    <xf numFmtId="2" fontId="27" fillId="2" borderId="0" xfId="0" applyNumberFormat="1" applyFont="1" applyFill="1" applyBorder="1"/>
    <xf numFmtId="2" fontId="27" fillId="4" borderId="24" xfId="0" applyNumberFormat="1" applyFont="1" applyFill="1" applyBorder="1"/>
    <xf numFmtId="2" fontId="27" fillId="4" borderId="22" xfId="0" applyNumberFormat="1" applyFont="1" applyFill="1" applyBorder="1"/>
    <xf numFmtId="0" fontId="24" fillId="0" borderId="0" xfId="0" applyFont="1" applyBorder="1"/>
    <xf numFmtId="2" fontId="19" fillId="0" borderId="0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1" fillId="2" borderId="63" xfId="0" applyNumberFormat="1" applyFont="1" applyFill="1" applyBorder="1"/>
    <xf numFmtId="0" fontId="8" fillId="2" borderId="43" xfId="0" applyFont="1" applyFill="1" applyBorder="1"/>
    <xf numFmtId="0" fontId="14" fillId="2" borderId="2" xfId="0" applyFont="1" applyFill="1" applyBorder="1"/>
    <xf numFmtId="0" fontId="20" fillId="2" borderId="43" xfId="0" applyFont="1" applyFill="1" applyBorder="1"/>
    <xf numFmtId="0" fontId="11" fillId="2" borderId="9" xfId="0" applyFont="1" applyFill="1" applyBorder="1"/>
    <xf numFmtId="0" fontId="11" fillId="2" borderId="51" xfId="0" applyFont="1" applyFill="1" applyBorder="1"/>
    <xf numFmtId="0" fontId="10" fillId="2" borderId="43" xfId="0" applyFont="1" applyFill="1" applyBorder="1"/>
    <xf numFmtId="0" fontId="11" fillId="2" borderId="43" xfId="0" applyFont="1" applyFill="1" applyBorder="1"/>
    <xf numFmtId="2" fontId="11" fillId="2" borderId="43" xfId="0" applyNumberFormat="1" applyFont="1" applyFill="1" applyBorder="1"/>
    <xf numFmtId="2" fontId="14" fillId="2" borderId="2" xfId="0" applyNumberFormat="1" applyFont="1" applyFill="1" applyBorder="1"/>
    <xf numFmtId="0" fontId="8" fillId="2" borderId="34" xfId="0" applyNumberFormat="1" applyFont="1" applyFill="1" applyBorder="1"/>
    <xf numFmtId="164" fontId="2" fillId="2" borderId="43" xfId="0" applyNumberFormat="1" applyFont="1" applyFill="1" applyBorder="1"/>
    <xf numFmtId="2" fontId="10" fillId="2" borderId="43" xfId="0" applyNumberFormat="1" applyFont="1" applyFill="1" applyBorder="1"/>
    <xf numFmtId="0" fontId="10" fillId="2" borderId="42" xfId="0" applyFont="1" applyFill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1" fillId="2" borderId="28" xfId="0" applyFont="1" applyFill="1" applyBorder="1" applyAlignment="1">
      <alignment horizontal="center" vertical="center"/>
    </xf>
    <xf numFmtId="0" fontId="11" fillId="2" borderId="55" xfId="0" applyNumberFormat="1" applyFont="1" applyFill="1" applyBorder="1"/>
    <xf numFmtId="0" fontId="10" fillId="2" borderId="55" xfId="0" applyNumberFormat="1" applyFont="1" applyFill="1" applyBorder="1"/>
    <xf numFmtId="0" fontId="2" fillId="2" borderId="55" xfId="0" applyNumberFormat="1" applyFont="1" applyFill="1" applyBorder="1"/>
    <xf numFmtId="0" fontId="2" fillId="2" borderId="13" xfId="0" applyFont="1" applyFill="1" applyBorder="1"/>
    <xf numFmtId="0" fontId="2" fillId="2" borderId="16" xfId="0" applyFont="1" applyFill="1" applyBorder="1"/>
    <xf numFmtId="0" fontId="2" fillId="2" borderId="34" xfId="0" applyFont="1" applyFill="1" applyBorder="1"/>
    <xf numFmtId="0" fontId="2" fillId="2" borderId="66" xfId="0" applyFont="1" applyFill="1" applyBorder="1"/>
    <xf numFmtId="0" fontId="2" fillId="2" borderId="55" xfId="0" applyFont="1" applyFill="1" applyBorder="1"/>
    <xf numFmtId="0" fontId="15" fillId="2" borderId="34" xfId="0" applyFont="1" applyFill="1" applyBorder="1"/>
    <xf numFmtId="0" fontId="3" fillId="2" borderId="34" xfId="0" applyFont="1" applyFill="1" applyBorder="1"/>
    <xf numFmtId="0" fontId="15" fillId="2" borderId="55" xfId="0" applyFont="1" applyFill="1" applyBorder="1"/>
    <xf numFmtId="0" fontId="3" fillId="2" borderId="55" xfId="0" applyFont="1" applyFill="1" applyBorder="1"/>
    <xf numFmtId="0" fontId="12" fillId="2" borderId="0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10" fillId="2" borderId="55" xfId="0" applyFont="1" applyFill="1" applyBorder="1"/>
    <xf numFmtId="0" fontId="12" fillId="2" borderId="67" xfId="0" applyFont="1" applyFill="1" applyBorder="1"/>
    <xf numFmtId="0" fontId="11" fillId="2" borderId="49" xfId="0" applyNumberFormat="1" applyFont="1" applyFill="1" applyBorder="1"/>
    <xf numFmtId="0" fontId="10" fillId="2" borderId="49" xfId="0" applyNumberFormat="1" applyFont="1" applyFill="1" applyBorder="1"/>
    <xf numFmtId="0" fontId="11" fillId="2" borderId="68" xfId="0" applyNumberFormat="1" applyFont="1" applyFill="1" applyBorder="1"/>
    <xf numFmtId="0" fontId="2" fillId="2" borderId="49" xfId="0" applyNumberFormat="1" applyFont="1" applyFill="1" applyBorder="1"/>
    <xf numFmtId="0" fontId="2" fillId="0" borderId="55" xfId="0" applyFont="1" applyBorder="1" applyAlignment="1">
      <alignment horizontal="center"/>
    </xf>
    <xf numFmtId="0" fontId="3" fillId="0" borderId="64" xfId="0" applyFont="1" applyBorder="1"/>
    <xf numFmtId="0" fontId="3" fillId="0" borderId="57" xfId="0" applyFont="1" applyBorder="1"/>
    <xf numFmtId="2" fontId="3" fillId="0" borderId="55" xfId="0" applyNumberFormat="1" applyFont="1" applyBorder="1"/>
    <xf numFmtId="0" fontId="19" fillId="0" borderId="55" xfId="0" applyFont="1" applyBorder="1"/>
    <xf numFmtId="0" fontId="2" fillId="0" borderId="55" xfId="0" applyFont="1" applyBorder="1"/>
    <xf numFmtId="2" fontId="3" fillId="0" borderId="10" xfId="0" applyNumberFormat="1" applyFont="1" applyBorder="1"/>
    <xf numFmtId="0" fontId="19" fillId="0" borderId="2" xfId="0" applyFont="1" applyBorder="1"/>
    <xf numFmtId="0" fontId="6" fillId="0" borderId="14" xfId="0" applyFont="1" applyBorder="1" applyAlignment="1">
      <alignment horizontal="center"/>
    </xf>
    <xf numFmtId="2" fontId="3" fillId="0" borderId="34" xfId="0" applyNumberFormat="1" applyFont="1" applyBorder="1"/>
    <xf numFmtId="2" fontId="3" fillId="0" borderId="42" xfId="0" applyNumberFormat="1" applyFont="1" applyBorder="1"/>
    <xf numFmtId="2" fontId="3" fillId="0" borderId="43" xfId="0" applyNumberFormat="1" applyFont="1" applyBorder="1"/>
    <xf numFmtId="2" fontId="3" fillId="0" borderId="2" xfId="0" applyNumberFormat="1" applyFont="1" applyBorder="1"/>
    <xf numFmtId="2" fontId="3" fillId="0" borderId="4" xfId="0" applyNumberFormat="1" applyFont="1" applyBorder="1"/>
    <xf numFmtId="0" fontId="3" fillId="0" borderId="55" xfId="0" applyFont="1" applyBorder="1"/>
    <xf numFmtId="0" fontId="9" fillId="0" borderId="1" xfId="0" applyFont="1" applyBorder="1"/>
    <xf numFmtId="0" fontId="9" fillId="0" borderId="35" xfId="0" applyFont="1" applyBorder="1"/>
    <xf numFmtId="1" fontId="19" fillId="2" borderId="51" xfId="0" applyNumberFormat="1" applyFont="1" applyFill="1" applyBorder="1"/>
    <xf numFmtId="1" fontId="12" fillId="2" borderId="70" xfId="0" applyNumberFormat="1" applyFont="1" applyFill="1" applyBorder="1"/>
    <xf numFmtId="0" fontId="12" fillId="2" borderId="38" xfId="0" applyFont="1" applyFill="1" applyBorder="1"/>
    <xf numFmtId="0" fontId="2" fillId="0" borderId="57" xfId="0" applyFont="1" applyBorder="1"/>
    <xf numFmtId="2" fontId="3" fillId="0" borderId="66" xfId="0" applyNumberFormat="1" applyFont="1" applyBorder="1"/>
    <xf numFmtId="2" fontId="2" fillId="0" borderId="55" xfId="0" applyNumberFormat="1" applyFont="1" applyBorder="1"/>
    <xf numFmtId="2" fontId="7" fillId="2" borderId="27" xfId="0" applyNumberFormat="1" applyFont="1" applyFill="1" applyBorder="1"/>
    <xf numFmtId="2" fontId="3" fillId="2" borderId="52" xfId="0" applyNumberFormat="1" applyFont="1" applyFill="1" applyBorder="1"/>
    <xf numFmtId="2" fontId="7" fillId="2" borderId="2" xfId="0" applyNumberFormat="1" applyFont="1" applyFill="1" applyBorder="1"/>
    <xf numFmtId="2" fontId="3" fillId="2" borderId="50" xfId="0" applyNumberFormat="1" applyFont="1" applyFill="1" applyBorder="1"/>
    <xf numFmtId="2" fontId="19" fillId="2" borderId="60" xfId="0" applyNumberFormat="1" applyFont="1" applyFill="1" applyBorder="1"/>
    <xf numFmtId="2" fontId="19" fillId="2" borderId="22" xfId="0" applyNumberFormat="1" applyFont="1" applyFill="1" applyBorder="1"/>
    <xf numFmtId="2" fontId="2" fillId="2" borderId="2" xfId="0" applyNumberFormat="1" applyFont="1" applyFill="1" applyBorder="1"/>
    <xf numFmtId="0" fontId="14" fillId="2" borderId="55" xfId="0" applyNumberFormat="1" applyFont="1" applyFill="1" applyBorder="1"/>
    <xf numFmtId="0" fontId="0" fillId="2" borderId="11" xfId="0" applyFill="1" applyBorder="1"/>
    <xf numFmtId="0" fontId="2" fillId="2" borderId="2" xfId="0" applyFont="1" applyFill="1" applyBorder="1"/>
    <xf numFmtId="0" fontId="0" fillId="2" borderId="0" xfId="0" applyFill="1"/>
    <xf numFmtId="0" fontId="2" fillId="2" borderId="10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0" fillId="2" borderId="8" xfId="0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2" fontId="3" fillId="2" borderId="7" xfId="0" applyNumberFormat="1" applyFont="1" applyFill="1" applyBorder="1"/>
    <xf numFmtId="2" fontId="3" fillId="2" borderId="12" xfId="0" applyNumberFormat="1" applyFont="1" applyFill="1" applyBorder="1"/>
    <xf numFmtId="0" fontId="15" fillId="2" borderId="52" xfId="0" applyFont="1" applyFill="1" applyBorder="1"/>
    <xf numFmtId="0" fontId="9" fillId="2" borderId="27" xfId="0" applyFont="1" applyFill="1" applyBorder="1"/>
    <xf numFmtId="0" fontId="12" fillId="2" borderId="52" xfId="0" applyFont="1" applyFill="1" applyBorder="1"/>
    <xf numFmtId="0" fontId="7" fillId="2" borderId="2" xfId="0" applyFont="1" applyFill="1" applyBorder="1"/>
    <xf numFmtId="2" fontId="19" fillId="2" borderId="14" xfId="0" applyNumberFormat="1" applyFont="1" applyFill="1" applyBorder="1"/>
    <xf numFmtId="0" fontId="15" fillId="2" borderId="25" xfId="0" applyFont="1" applyFill="1" applyBorder="1"/>
    <xf numFmtId="0" fontId="15" fillId="6" borderId="52" xfId="0" applyFont="1" applyFill="1" applyBorder="1"/>
    <xf numFmtId="0" fontId="9" fillId="6" borderId="27" xfId="0" applyFont="1" applyFill="1" applyBorder="1"/>
    <xf numFmtId="2" fontId="12" fillId="6" borderId="52" xfId="0" applyNumberFormat="1" applyFont="1" applyFill="1" applyBorder="1"/>
    <xf numFmtId="2" fontId="13" fillId="6" borderId="52" xfId="0" applyNumberFormat="1" applyFont="1" applyFill="1" applyBorder="1"/>
    <xf numFmtId="2" fontId="12" fillId="6" borderId="25" xfId="0" applyNumberFormat="1" applyFont="1" applyFill="1" applyBorder="1"/>
    <xf numFmtId="0" fontId="12" fillId="6" borderId="52" xfId="0" applyFont="1" applyFill="1" applyBorder="1"/>
    <xf numFmtId="2" fontId="19" fillId="6" borderId="53" xfId="0" applyNumberFormat="1" applyFont="1" applyFill="1" applyBorder="1"/>
    <xf numFmtId="2" fontId="19" fillId="6" borderId="22" xfId="0" applyNumberFormat="1" applyFont="1" applyFill="1" applyBorder="1"/>
    <xf numFmtId="0" fontId="15" fillId="6" borderId="26" xfId="0" applyFont="1" applyFill="1" applyBorder="1"/>
    <xf numFmtId="0" fontId="7" fillId="6" borderId="27" xfId="0" applyFont="1" applyFill="1" applyBorder="1" applyAlignment="1">
      <alignment horizontal="left" wrapText="1"/>
    </xf>
    <xf numFmtId="2" fontId="7" fillId="6" borderId="27" xfId="0" applyNumberFormat="1" applyFont="1" applyFill="1" applyBorder="1"/>
    <xf numFmtId="2" fontId="3" fillId="6" borderId="52" xfId="0" applyNumberFormat="1" applyFont="1" applyFill="1" applyBorder="1"/>
    <xf numFmtId="2" fontId="9" fillId="6" borderId="27" xfId="0" applyNumberFormat="1" applyFont="1" applyFill="1" applyBorder="1"/>
    <xf numFmtId="2" fontId="13" fillId="6" borderId="25" xfId="0" applyNumberFormat="1" applyFont="1" applyFill="1" applyBorder="1"/>
    <xf numFmtId="2" fontId="19" fillId="6" borderId="26" xfId="0" applyNumberFormat="1" applyFont="1" applyFill="1" applyBorder="1"/>
    <xf numFmtId="0" fontId="15" fillId="6" borderId="56" xfId="0" applyFont="1" applyFill="1" applyBorder="1"/>
    <xf numFmtId="0" fontId="15" fillId="6" borderId="25" xfId="0" applyFont="1" applyFill="1" applyBorder="1"/>
    <xf numFmtId="0" fontId="12" fillId="6" borderId="25" xfId="0" applyFont="1" applyFill="1" applyBorder="1"/>
    <xf numFmtId="164" fontId="13" fillId="6" borderId="52" xfId="0" applyNumberFormat="1" applyFont="1" applyFill="1" applyBorder="1"/>
    <xf numFmtId="164" fontId="19" fillId="6" borderId="53" xfId="0" applyNumberFormat="1" applyFont="1" applyFill="1" applyBorder="1"/>
    <xf numFmtId="164" fontId="12" fillId="6" borderId="52" xfId="0" applyNumberFormat="1" applyFont="1" applyFill="1" applyBorder="1"/>
    <xf numFmtId="0" fontId="13" fillId="6" borderId="52" xfId="0" applyFont="1" applyFill="1" applyBorder="1"/>
    <xf numFmtId="0" fontId="3" fillId="6" borderId="0" xfId="0" applyFont="1" applyFill="1"/>
    <xf numFmtId="2" fontId="13" fillId="6" borderId="56" xfId="0" applyNumberFormat="1" applyFont="1" applyFill="1" applyBorder="1"/>
    <xf numFmtId="2" fontId="12" fillId="6" borderId="56" xfId="0" applyNumberFormat="1" applyFont="1" applyFill="1" applyBorder="1"/>
    <xf numFmtId="0" fontId="7" fillId="6" borderId="27" xfId="0" applyFont="1" applyFill="1" applyBorder="1"/>
    <xf numFmtId="2" fontId="9" fillId="6" borderId="56" xfId="0" applyNumberFormat="1" applyFont="1" applyFill="1" applyBorder="1"/>
    <xf numFmtId="2" fontId="11" fillId="6" borderId="56" xfId="0" applyNumberFormat="1" applyFont="1" applyFill="1" applyBorder="1"/>
    <xf numFmtId="164" fontId="19" fillId="6" borderId="25" xfId="0" applyNumberFormat="1" applyFont="1" applyFill="1" applyBorder="1"/>
    <xf numFmtId="164" fontId="12" fillId="6" borderId="25" xfId="0" applyNumberFormat="1" applyFont="1" applyFill="1" applyBorder="1"/>
    <xf numFmtId="164" fontId="13" fillId="6" borderId="25" xfId="0" applyNumberFormat="1" applyFont="1" applyFill="1" applyBorder="1"/>
    <xf numFmtId="2" fontId="19" fillId="6" borderId="24" xfId="0" applyNumberFormat="1" applyFont="1" applyFill="1" applyBorder="1"/>
    <xf numFmtId="0" fontId="13" fillId="6" borderId="25" xfId="0" applyFont="1" applyFill="1" applyBorder="1"/>
    <xf numFmtId="0" fontId="15" fillId="6" borderId="53" xfId="0" applyFont="1" applyFill="1" applyBorder="1"/>
    <xf numFmtId="0" fontId="2" fillId="2" borderId="3" xfId="0" applyFont="1" applyFill="1" applyBorder="1"/>
    <xf numFmtId="2" fontId="12" fillId="6" borderId="65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12" fillId="6" borderId="27" xfId="0" applyNumberFormat="1" applyFont="1" applyFill="1" applyBorder="1"/>
    <xf numFmtId="164" fontId="9" fillId="6" borderId="27" xfId="0" applyNumberFormat="1" applyFont="1" applyFill="1" applyBorder="1"/>
    <xf numFmtId="2" fontId="11" fillId="6" borderId="25" xfId="0" applyNumberFormat="1" applyFont="1" applyFill="1" applyBorder="1"/>
    <xf numFmtId="2" fontId="13" fillId="6" borderId="24" xfId="0" applyNumberFormat="1" applyFont="1" applyFill="1" applyBorder="1"/>
    <xf numFmtId="0" fontId="3" fillId="6" borderId="27" xfId="0" applyFont="1" applyFill="1" applyBorder="1"/>
    <xf numFmtId="2" fontId="15" fillId="6" borderId="52" xfId="0" applyNumberFormat="1" applyFont="1" applyFill="1" applyBorder="1"/>
    <xf numFmtId="2" fontId="3" fillId="6" borderId="27" xfId="0" applyNumberFormat="1" applyFont="1" applyFill="1" applyBorder="1"/>
    <xf numFmtId="2" fontId="12" fillId="6" borderId="25" xfId="0" applyNumberFormat="1" applyFont="1" applyFill="1" applyBorder="1" applyAlignment="1"/>
    <xf numFmtId="2" fontId="21" fillId="6" borderId="56" xfId="0" applyNumberFormat="1" applyFont="1" applyFill="1" applyBorder="1"/>
    <xf numFmtId="2" fontId="3" fillId="6" borderId="56" xfId="0" applyNumberFormat="1" applyFont="1" applyFill="1" applyBorder="1"/>
    <xf numFmtId="1" fontId="13" fillId="6" borderId="25" xfId="0" applyNumberFormat="1" applyFont="1" applyFill="1" applyBorder="1"/>
    <xf numFmtId="2" fontId="3" fillId="6" borderId="53" xfId="0" applyNumberFormat="1" applyFont="1" applyFill="1" applyBorder="1"/>
    <xf numFmtId="164" fontId="15" fillId="6" borderId="52" xfId="0" applyNumberFormat="1" applyFont="1" applyFill="1" applyBorder="1"/>
    <xf numFmtId="0" fontId="7" fillId="6" borderId="2" xfId="0" applyFont="1" applyFill="1" applyBorder="1" applyAlignment="1">
      <alignment horizontal="left" wrapText="1"/>
    </xf>
    <xf numFmtId="0" fontId="7" fillId="6" borderId="2" xfId="0" applyFont="1" applyFill="1" applyBorder="1"/>
    <xf numFmtId="2" fontId="3" fillId="6" borderId="50" xfId="0" applyNumberFormat="1" applyFont="1" applyFill="1" applyBorder="1"/>
    <xf numFmtId="0" fontId="9" fillId="6" borderId="2" xfId="0" applyFont="1" applyFill="1" applyBorder="1"/>
    <xf numFmtId="0" fontId="2" fillId="6" borderId="43" xfId="0" applyFont="1" applyFill="1" applyBorder="1"/>
    <xf numFmtId="0" fontId="3" fillId="2" borderId="0" xfId="0" applyFont="1" applyFill="1" applyBorder="1"/>
    <xf numFmtId="0" fontId="2" fillId="2" borderId="39" xfId="0" applyFont="1" applyFill="1" applyBorder="1"/>
    <xf numFmtId="0" fontId="3" fillId="2" borderId="11" xfId="0" applyNumberFormat="1" applyFont="1" applyFill="1" applyBorder="1"/>
    <xf numFmtId="2" fontId="3" fillId="6" borderId="24" xfId="0" applyNumberFormat="1" applyFont="1" applyFill="1" applyBorder="1"/>
    <xf numFmtId="2" fontId="13" fillId="6" borderId="23" xfId="0" applyNumberFormat="1" applyFont="1" applyFill="1" applyBorder="1"/>
    <xf numFmtId="2" fontId="19" fillId="6" borderId="56" xfId="0" applyNumberFormat="1" applyFont="1" applyFill="1" applyBorder="1"/>
    <xf numFmtId="164" fontId="19" fillId="6" borderId="56" xfId="0" applyNumberFormat="1" applyFont="1" applyFill="1" applyBorder="1"/>
    <xf numFmtId="0" fontId="3" fillId="2" borderId="48" xfId="0" applyFont="1" applyFill="1" applyBorder="1"/>
    <xf numFmtId="0" fontId="3" fillId="6" borderId="65" xfId="0" applyFont="1" applyFill="1" applyBorder="1"/>
    <xf numFmtId="0" fontId="3" fillId="2" borderId="49" xfId="0" applyFont="1" applyFill="1" applyBorder="1"/>
    <xf numFmtId="2" fontId="10" fillId="6" borderId="25" xfId="0" applyNumberFormat="1" applyFont="1" applyFill="1" applyBorder="1"/>
    <xf numFmtId="0" fontId="10" fillId="2" borderId="66" xfId="0" applyFont="1" applyFill="1" applyBorder="1"/>
    <xf numFmtId="2" fontId="2" fillId="2" borderId="55" xfId="0" applyNumberFormat="1" applyFont="1" applyFill="1" applyBorder="1"/>
    <xf numFmtId="0" fontId="11" fillId="2" borderId="1" xfId="0" applyFont="1" applyFill="1" applyBorder="1"/>
    <xf numFmtId="1" fontId="11" fillId="2" borderId="57" xfId="0" applyNumberFormat="1" applyFont="1" applyFill="1" applyBorder="1"/>
    <xf numFmtId="2" fontId="2" fillId="2" borderId="43" xfId="0" applyNumberFormat="1" applyFont="1" applyFill="1" applyBorder="1" applyAlignment="1"/>
    <xf numFmtId="0" fontId="3" fillId="2" borderId="9" xfId="0" applyFont="1" applyFill="1" applyBorder="1"/>
    <xf numFmtId="0" fontId="3" fillId="2" borderId="64" xfId="0" applyFont="1" applyFill="1" applyBorder="1"/>
    <xf numFmtId="0" fontId="4" fillId="2" borderId="55" xfId="0" applyFont="1" applyFill="1" applyBorder="1"/>
    <xf numFmtId="0" fontId="2" fillId="2" borderId="63" xfId="0" applyFont="1" applyFill="1" applyBorder="1"/>
    <xf numFmtId="2" fontId="24" fillId="2" borderId="0" xfId="0" applyNumberFormat="1" applyFont="1" applyFill="1"/>
    <xf numFmtId="164" fontId="29" fillId="6" borderId="25" xfId="0" applyNumberFormat="1" applyFont="1" applyFill="1" applyBorder="1"/>
    <xf numFmtId="0" fontId="13" fillId="6" borderId="24" xfId="0" applyFont="1" applyFill="1" applyBorder="1"/>
    <xf numFmtId="2" fontId="11" fillId="6" borderId="34" xfId="0" applyNumberFormat="1" applyFont="1" applyFill="1" applyBorder="1"/>
    <xf numFmtId="0" fontId="11" fillId="6" borderId="11" xfId="0" applyNumberFormat="1" applyFont="1" applyFill="1" applyBorder="1"/>
    <xf numFmtId="2" fontId="19" fillId="6" borderId="61" xfId="0" applyNumberFormat="1" applyFont="1" applyFill="1" applyBorder="1"/>
    <xf numFmtId="2" fontId="13" fillId="6" borderId="65" xfId="0" applyNumberFormat="1" applyFont="1" applyFill="1" applyBorder="1"/>
    <xf numFmtId="2" fontId="29" fillId="6" borderId="25" xfId="0" applyNumberFormat="1" applyFont="1" applyFill="1" applyBorder="1"/>
    <xf numFmtId="2" fontId="19" fillId="6" borderId="25" xfId="0" applyNumberFormat="1" applyFont="1" applyFill="1" applyBorder="1"/>
    <xf numFmtId="2" fontId="3" fillId="6" borderId="25" xfId="0" applyNumberFormat="1" applyFont="1" applyFill="1" applyBorder="1"/>
    <xf numFmtId="2" fontId="2" fillId="6" borderId="52" xfId="0" applyNumberFormat="1" applyFont="1" applyFill="1" applyBorder="1"/>
    <xf numFmtId="0" fontId="0" fillId="0" borderId="14" xfId="0" applyBorder="1"/>
    <xf numFmtId="0" fontId="11" fillId="2" borderId="66" xfId="0" applyNumberFormat="1" applyFont="1" applyFill="1" applyBorder="1"/>
    <xf numFmtId="2" fontId="3" fillId="0" borderId="72" xfId="0" applyNumberFormat="1" applyFont="1" applyBorder="1"/>
    <xf numFmtId="2" fontId="11" fillId="2" borderId="55" xfId="0" applyNumberFormat="1" applyFont="1" applyFill="1" applyBorder="1"/>
    <xf numFmtId="2" fontId="9" fillId="2" borderId="1" xfId="0" applyNumberFormat="1" applyFont="1" applyFill="1" applyBorder="1"/>
    <xf numFmtId="2" fontId="9" fillId="0" borderId="55" xfId="0" applyNumberFormat="1" applyFont="1" applyBorder="1"/>
    <xf numFmtId="0" fontId="2" fillId="0" borderId="14" xfId="0" applyFont="1" applyBorder="1" applyAlignment="1">
      <alignment horizontal="center" vertical="center"/>
    </xf>
    <xf numFmtId="2" fontId="3" fillId="2" borderId="3" xfId="0" applyNumberFormat="1" applyFont="1" applyFill="1" applyBorder="1"/>
    <xf numFmtId="1" fontId="12" fillId="2" borderId="39" xfId="0" applyNumberFormat="1" applyFont="1" applyFill="1" applyBorder="1"/>
    <xf numFmtId="0" fontId="2" fillId="2" borderId="41" xfId="0" applyFont="1" applyFill="1" applyBorder="1"/>
    <xf numFmtId="0" fontId="2" fillId="2" borderId="54" xfId="0" applyFont="1" applyFill="1" applyBorder="1"/>
    <xf numFmtId="0" fontId="9" fillId="2" borderId="54" xfId="0" applyFont="1" applyFill="1" applyBorder="1"/>
    <xf numFmtId="1" fontId="9" fillId="2" borderId="57" xfId="0" applyNumberFormat="1" applyFont="1" applyFill="1" applyBorder="1"/>
    <xf numFmtId="2" fontId="3" fillId="2" borderId="4" xfId="0" applyNumberFormat="1" applyFont="1" applyFill="1" applyBorder="1"/>
    <xf numFmtId="2" fontId="10" fillId="2" borderId="2" xfId="0" applyNumberFormat="1" applyFont="1" applyFill="1" applyBorder="1"/>
    <xf numFmtId="0" fontId="12" fillId="6" borderId="53" xfId="0" applyFont="1" applyFill="1" applyBorder="1"/>
    <xf numFmtId="0" fontId="4" fillId="2" borderId="34" xfId="0" applyFont="1" applyFill="1" applyBorder="1"/>
    <xf numFmtId="0" fontId="3" fillId="2" borderId="32" xfId="0" applyFont="1" applyFill="1" applyBorder="1"/>
    <xf numFmtId="0" fontId="3" fillId="2" borderId="41" xfId="0" applyFont="1" applyFill="1" applyBorder="1"/>
    <xf numFmtId="0" fontId="11" fillId="2" borderId="41" xfId="0" applyNumberFormat="1" applyFont="1" applyFill="1" applyBorder="1"/>
    <xf numFmtId="0" fontId="15" fillId="6" borderId="38" xfId="0" applyFont="1" applyFill="1" applyBorder="1"/>
    <xf numFmtId="0" fontId="2" fillId="0" borderId="51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34" xfId="0" applyNumberFormat="1" applyFont="1" applyBorder="1"/>
    <xf numFmtId="2" fontId="2" fillId="6" borderId="25" xfId="0" applyNumberFormat="1" applyFont="1" applyFill="1" applyBorder="1"/>
    <xf numFmtId="2" fontId="31" fillId="0" borderId="34" xfId="0" applyNumberFormat="1" applyFont="1" applyBorder="1"/>
    <xf numFmtId="2" fontId="31" fillId="0" borderId="43" xfId="0" applyNumberFormat="1" applyFont="1" applyBorder="1"/>
    <xf numFmtId="0" fontId="2" fillId="2" borderId="11" xfId="0" applyFont="1" applyFill="1" applyBorder="1"/>
    <xf numFmtId="0" fontId="11" fillId="2" borderId="73" xfId="0" applyNumberFormat="1" applyFont="1" applyFill="1" applyBorder="1"/>
    <xf numFmtId="2" fontId="10" fillId="2" borderId="49" xfId="0" applyNumberFormat="1" applyFont="1" applyFill="1" applyBorder="1"/>
    <xf numFmtId="0" fontId="2" fillId="2" borderId="48" xfId="0" applyFont="1" applyFill="1" applyBorder="1"/>
    <xf numFmtId="0" fontId="15" fillId="6" borderId="65" xfId="0" applyFont="1" applyFill="1" applyBorder="1"/>
    <xf numFmtId="0" fontId="2" fillId="2" borderId="49" xfId="0" applyFont="1" applyFill="1" applyBorder="1"/>
    <xf numFmtId="0" fontId="15" fillId="2" borderId="49" xfId="0" applyFont="1" applyFill="1" applyBorder="1"/>
    <xf numFmtId="2" fontId="3" fillId="2" borderId="49" xfId="0" applyNumberFormat="1" applyFont="1" applyFill="1" applyBorder="1"/>
    <xf numFmtId="0" fontId="11" fillId="6" borderId="25" xfId="0" applyFont="1" applyFill="1" applyBorder="1"/>
    <xf numFmtId="0" fontId="11" fillId="2" borderId="34" xfId="0" applyFont="1" applyFill="1" applyBorder="1"/>
    <xf numFmtId="0" fontId="9" fillId="2" borderId="51" xfId="0" applyFont="1" applyFill="1" applyBorder="1"/>
    <xf numFmtId="0" fontId="9" fillId="2" borderId="9" xfId="0" applyFont="1" applyFill="1" applyBorder="1"/>
    <xf numFmtId="0" fontId="13" fillId="2" borderId="52" xfId="0" applyFont="1" applyFill="1" applyBorder="1"/>
    <xf numFmtId="2" fontId="21" fillId="6" borderId="27" xfId="0" applyNumberFormat="1" applyFont="1" applyFill="1" applyBorder="1"/>
    <xf numFmtId="164" fontId="21" fillId="6" borderId="27" xfId="0" applyNumberFormat="1" applyFont="1" applyFill="1" applyBorder="1"/>
    <xf numFmtId="1" fontId="12" fillId="6" borderId="25" xfId="0" applyNumberFormat="1" applyFont="1" applyFill="1" applyBorder="1"/>
    <xf numFmtId="0" fontId="12" fillId="2" borderId="48" xfId="0" applyFont="1" applyFill="1" applyBorder="1"/>
    <xf numFmtId="1" fontId="19" fillId="6" borderId="53" xfId="0" applyNumberFormat="1" applyFont="1" applyFill="1" applyBorder="1"/>
    <xf numFmtId="1" fontId="19" fillId="6" borderId="56" xfId="0" applyNumberFormat="1" applyFont="1" applyFill="1" applyBorder="1"/>
    <xf numFmtId="1" fontId="27" fillId="4" borderId="0" xfId="0" applyNumberFormat="1" applyFont="1" applyFill="1"/>
    <xf numFmtId="1" fontId="24" fillId="4" borderId="0" xfId="0" applyNumberFormat="1" applyFont="1" applyFill="1"/>
    <xf numFmtId="1" fontId="24" fillId="4" borderId="24" xfId="0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6" borderId="34" xfId="0" applyFont="1" applyFill="1" applyBorder="1"/>
    <xf numFmtId="0" fontId="2" fillId="0" borderId="8" xfId="0" applyFont="1" applyBorder="1" applyAlignment="1">
      <alignment horizontal="centerContinuous"/>
    </xf>
    <xf numFmtId="2" fontId="31" fillId="0" borderId="55" xfId="0" applyNumberFormat="1" applyFont="1" applyBorder="1"/>
    <xf numFmtId="2" fontId="2" fillId="6" borderId="56" xfId="0" applyNumberFormat="1" applyFont="1" applyFill="1" applyBorder="1"/>
    <xf numFmtId="2" fontId="3" fillId="0" borderId="54" xfId="0" applyNumberFormat="1" applyFont="1" applyBorder="1"/>
    <xf numFmtId="0" fontId="0" fillId="0" borderId="60" xfId="0" applyBorder="1"/>
    <xf numFmtId="0" fontId="9" fillId="0" borderId="55" xfId="0" applyFont="1" applyBorder="1"/>
    <xf numFmtId="2" fontId="3" fillId="6" borderId="62" xfId="0" applyNumberFormat="1" applyFont="1" applyFill="1" applyBorder="1"/>
    <xf numFmtId="2" fontId="3" fillId="0" borderId="44" xfId="0" applyNumberFormat="1" applyFont="1" applyBorder="1"/>
    <xf numFmtId="0" fontId="11" fillId="2" borderId="5" xfId="0" applyNumberFormat="1" applyFont="1" applyFill="1" applyBorder="1"/>
    <xf numFmtId="2" fontId="9" fillId="2" borderId="55" xfId="0" applyNumberFormat="1" applyFont="1" applyFill="1" applyBorder="1"/>
    <xf numFmtId="2" fontId="10" fillId="0" borderId="34" xfId="0" applyNumberFormat="1" applyFont="1" applyFill="1" applyBorder="1"/>
    <xf numFmtId="0" fontId="10" fillId="2" borderId="34" xfId="0" applyFont="1" applyFill="1" applyBorder="1"/>
    <xf numFmtId="0" fontId="9" fillId="2" borderId="34" xfId="0" applyNumberFormat="1" applyFont="1" applyFill="1" applyBorder="1"/>
    <xf numFmtId="2" fontId="9" fillId="6" borderId="25" xfId="0" applyNumberFormat="1" applyFont="1" applyFill="1" applyBorder="1"/>
    <xf numFmtId="0" fontId="21" fillId="2" borderId="55" xfId="0" applyNumberFormat="1" applyFont="1" applyFill="1" applyBorder="1"/>
    <xf numFmtId="2" fontId="3" fillId="6" borderId="55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9" fillId="2" borderId="34" xfId="0" applyNumberFormat="1" applyFont="1" applyFill="1" applyBorder="1"/>
    <xf numFmtId="2" fontId="3" fillId="0" borderId="58" xfId="0" applyNumberFormat="1" applyFont="1" applyBorder="1"/>
    <xf numFmtId="1" fontId="9" fillId="2" borderId="35" xfId="0" applyNumberFormat="1" applyFont="1" applyFill="1" applyBorder="1"/>
    <xf numFmtId="2" fontId="11" fillId="6" borderId="52" xfId="0" applyNumberFormat="1" applyFont="1" applyFill="1" applyBorder="1"/>
    <xf numFmtId="0" fontId="9" fillId="2" borderId="43" xfId="0" applyNumberFormat="1" applyFont="1" applyFill="1" applyBorder="1"/>
    <xf numFmtId="2" fontId="9" fillId="6" borderId="52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9" fillId="6" borderId="56" xfId="0" applyNumberFormat="1" applyFont="1" applyFill="1" applyBorder="1"/>
    <xf numFmtId="1" fontId="9" fillId="6" borderId="27" xfId="0" applyNumberFormat="1" applyFont="1" applyFill="1" applyBorder="1"/>
    <xf numFmtId="1" fontId="21" fillId="6" borderId="56" xfId="0" applyNumberFormat="1" applyFont="1" applyFill="1" applyBorder="1"/>
    <xf numFmtId="1" fontId="12" fillId="6" borderId="65" xfId="0" applyNumberFormat="1" applyFont="1" applyFill="1" applyBorder="1"/>
    <xf numFmtId="1" fontId="11" fillId="6" borderId="25" xfId="0" applyNumberFormat="1" applyFont="1" applyFill="1" applyBorder="1"/>
    <xf numFmtId="1" fontId="13" fillId="6" borderId="65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3" fillId="0" borderId="0" xfId="0" applyFont="1"/>
    <xf numFmtId="2" fontId="21" fillId="0" borderId="55" xfId="0" applyNumberFormat="1" applyFont="1" applyBorder="1"/>
    <xf numFmtId="0" fontId="9" fillId="2" borderId="46" xfId="0" applyFont="1" applyFill="1" applyBorder="1"/>
    <xf numFmtId="0" fontId="9" fillId="2" borderId="67" xfId="0" applyFont="1" applyFill="1" applyBorder="1"/>
    <xf numFmtId="0" fontId="11" fillId="2" borderId="58" xfId="0" applyNumberFormat="1" applyFont="1" applyFill="1" applyBorder="1"/>
    <xf numFmtId="0" fontId="3" fillId="2" borderId="16" xfId="0" applyFont="1" applyFill="1" applyBorder="1"/>
    <xf numFmtId="2" fontId="12" fillId="6" borderId="26" xfId="0" applyNumberFormat="1" applyFont="1" applyFill="1" applyBorder="1"/>
    <xf numFmtId="0" fontId="15" fillId="2" borderId="16" xfId="0" applyFont="1" applyFill="1" applyBorder="1"/>
    <xf numFmtId="2" fontId="13" fillId="6" borderId="26" xfId="0" applyNumberFormat="1" applyFont="1" applyFill="1" applyBorder="1"/>
    <xf numFmtId="164" fontId="13" fillId="6" borderId="26" xfId="0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12" fillId="2" borderId="29" xfId="0" applyFont="1" applyFill="1" applyBorder="1"/>
    <xf numFmtId="0" fontId="12" fillId="2" borderId="42" xfId="0" applyFont="1" applyFill="1" applyBorder="1"/>
    <xf numFmtId="1" fontId="12" fillId="2" borderId="45" xfId="0" applyNumberFormat="1" applyFont="1" applyFill="1" applyBorder="1"/>
    <xf numFmtId="2" fontId="15" fillId="6" borderId="25" xfId="0" applyNumberFormat="1" applyFont="1" applyFill="1" applyBorder="1"/>
    <xf numFmtId="0" fontId="2" fillId="2" borderId="4" xfId="0" applyFont="1" applyFill="1" applyBorder="1"/>
    <xf numFmtId="0" fontId="11" fillId="2" borderId="2" xfId="0" applyNumberFormat="1" applyFont="1" applyFill="1" applyBorder="1"/>
    <xf numFmtId="2" fontId="13" fillId="6" borderId="27" xfId="0" applyNumberFormat="1" applyFont="1" applyFill="1" applyBorder="1"/>
    <xf numFmtId="0" fontId="2" fillId="2" borderId="2" xfId="0" applyNumberFormat="1" applyFont="1" applyFill="1" applyBorder="1"/>
    <xf numFmtId="0" fontId="0" fillId="0" borderId="2" xfId="0" applyBorder="1"/>
    <xf numFmtId="2" fontId="3" fillId="2" borderId="9" xfId="0" applyNumberFormat="1" applyFont="1" applyFill="1" applyBorder="1"/>
    <xf numFmtId="0" fontId="9" fillId="2" borderId="34" xfId="0" applyFont="1" applyFill="1" applyBorder="1"/>
    <xf numFmtId="0" fontId="9" fillId="6" borderId="25" xfId="0" applyFont="1" applyFill="1" applyBorder="1"/>
    <xf numFmtId="2" fontId="3" fillId="2" borderId="13" xfId="0" applyNumberFormat="1" applyFont="1" applyFill="1" applyBorder="1"/>
    <xf numFmtId="0" fontId="9" fillId="2" borderId="68" xfId="0" applyFont="1" applyFill="1" applyBorder="1"/>
    <xf numFmtId="2" fontId="7" fillId="6" borderId="65" xfId="0" applyNumberFormat="1" applyFont="1" applyFill="1" applyBorder="1"/>
    <xf numFmtId="0" fontId="8" fillId="0" borderId="11" xfId="0" applyFont="1" applyBorder="1" applyAlignment="1">
      <alignment horizontal="center" vertical="center"/>
    </xf>
    <xf numFmtId="2" fontId="9" fillId="2" borderId="49" xfId="0" applyNumberFormat="1" applyFont="1" applyFill="1" applyBorder="1"/>
    <xf numFmtId="164" fontId="9" fillId="6" borderId="65" xfId="0" applyNumberFormat="1" applyFont="1" applyFill="1" applyBorder="1"/>
    <xf numFmtId="0" fontId="10" fillId="2" borderId="68" xfId="0" applyNumberFormat="1" applyFont="1" applyFill="1" applyBorder="1"/>
    <xf numFmtId="2" fontId="9" fillId="6" borderId="65" xfId="0" applyNumberFormat="1" applyFont="1" applyFill="1" applyBorder="1"/>
    <xf numFmtId="2" fontId="11" fillId="2" borderId="9" xfId="0" applyNumberFormat="1" applyFont="1" applyFill="1" applyBorder="1"/>
    <xf numFmtId="2" fontId="2" fillId="2" borderId="9" xfId="0" applyNumberFormat="1" applyFont="1" applyFill="1" applyBorder="1"/>
    <xf numFmtId="0" fontId="2" fillId="2" borderId="1" xfId="0" applyFont="1" applyFill="1" applyBorder="1"/>
    <xf numFmtId="2" fontId="10" fillId="6" borderId="27" xfId="0" applyNumberFormat="1" applyFont="1" applyFill="1" applyBorder="1"/>
    <xf numFmtId="0" fontId="15" fillId="6" borderId="27" xfId="0" applyFont="1" applyFill="1" applyBorder="1"/>
    <xf numFmtId="2" fontId="19" fillId="6" borderId="27" xfId="0" applyNumberFormat="1" applyFont="1" applyFill="1" applyBorder="1"/>
    <xf numFmtId="0" fontId="13" fillId="2" borderId="34" xfId="0" applyFont="1" applyFill="1" applyBorder="1"/>
    <xf numFmtId="0" fontId="2" fillId="2" borderId="74" xfId="0" applyFont="1" applyFill="1" applyBorder="1"/>
    <xf numFmtId="0" fontId="15" fillId="2" borderId="2" xfId="0" applyFont="1" applyFill="1" applyBorder="1"/>
    <xf numFmtId="0" fontId="3" fillId="2" borderId="46" xfId="0" applyFont="1" applyFill="1" applyBorder="1"/>
    <xf numFmtId="0" fontId="10" fillId="2" borderId="49" xfId="0" applyFont="1" applyFill="1" applyBorder="1"/>
    <xf numFmtId="0" fontId="2" fillId="2" borderId="68" xfId="0" applyFont="1" applyFill="1" applyBorder="1"/>
    <xf numFmtId="0" fontId="12" fillId="2" borderId="46" xfId="0" applyFont="1" applyFill="1" applyBorder="1"/>
    <xf numFmtId="0" fontId="13" fillId="2" borderId="34" xfId="0" applyNumberFormat="1" applyFont="1" applyFill="1" applyBorder="1"/>
    <xf numFmtId="2" fontId="29" fillId="6" borderId="27" xfId="0" applyNumberFormat="1" applyFont="1" applyFill="1" applyBorder="1"/>
    <xf numFmtId="164" fontId="10" fillId="6" borderId="5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2" fillId="6" borderId="65" xfId="0" applyFont="1" applyFill="1" applyBorder="1"/>
    <xf numFmtId="2" fontId="7" fillId="6" borderId="25" xfId="0" applyNumberFormat="1" applyFont="1" applyFill="1" applyBorder="1"/>
    <xf numFmtId="2" fontId="11" fillId="2" borderId="66" xfId="0" applyNumberFormat="1" applyFont="1" applyFill="1" applyBorder="1"/>
    <xf numFmtId="0" fontId="15" fillId="2" borderId="68" xfId="0" applyFont="1" applyFill="1" applyBorder="1"/>
    <xf numFmtId="0" fontId="15" fillId="2" borderId="66" xfId="0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12" fillId="6" borderId="52" xfId="0" applyNumberFormat="1" applyFont="1" applyFill="1" applyBorder="1"/>
    <xf numFmtId="0" fontId="11" fillId="2" borderId="34" xfId="0" applyNumberFormat="1" applyFont="1" applyFill="1" applyBorder="1" applyAlignment="1"/>
    <xf numFmtId="0" fontId="13" fillId="2" borderId="25" xfId="0" applyFont="1" applyFill="1" applyBorder="1"/>
    <xf numFmtId="2" fontId="4" fillId="2" borderId="34" xfId="0" applyNumberFormat="1" applyFont="1" applyFill="1" applyBorder="1"/>
    <xf numFmtId="164" fontId="19" fillId="6" borderId="5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2" borderId="49" xfId="0" applyNumberFormat="1" applyFont="1" applyFill="1" applyBorder="1"/>
    <xf numFmtId="0" fontId="11" fillId="2" borderId="75" xfId="0" applyNumberFormat="1" applyFont="1" applyFill="1" applyBorder="1"/>
    <xf numFmtId="0" fontId="3" fillId="0" borderId="9" xfId="0" applyFont="1" applyBorder="1"/>
    <xf numFmtId="1" fontId="3" fillId="0" borderId="51" xfId="0" applyNumberFormat="1" applyFont="1" applyBorder="1"/>
    <xf numFmtId="0" fontId="13" fillId="2" borderId="43" xfId="0" applyFont="1" applyFill="1" applyBorder="1"/>
    <xf numFmtId="0" fontId="9" fillId="6" borderId="56" xfId="0" applyFont="1" applyFill="1" applyBorder="1"/>
    <xf numFmtId="0" fontId="15" fillId="6" borderId="24" xfId="0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6" fillId="0" borderId="0" xfId="0" applyFont="1"/>
    <xf numFmtId="2" fontId="19" fillId="6" borderId="52" xfId="0" applyNumberFormat="1" applyFont="1" applyFill="1" applyBorder="1"/>
    <xf numFmtId="0" fontId="29" fillId="2" borderId="43" xfId="0" applyFont="1" applyFill="1" applyBorder="1"/>
    <xf numFmtId="2" fontId="34" fillId="2" borderId="34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12" fillId="6" borderId="56" xfId="0" applyNumberFormat="1" applyFont="1" applyFill="1" applyBorder="1"/>
    <xf numFmtId="0" fontId="3" fillId="2" borderId="0" xfId="0" applyFont="1" applyFill="1"/>
    <xf numFmtId="0" fontId="2" fillId="2" borderId="0" xfId="0" applyFont="1" applyFill="1" applyBorder="1"/>
    <xf numFmtId="0" fontId="36" fillId="2" borderId="14" xfId="0" applyFont="1" applyFill="1" applyBorder="1" applyAlignment="1">
      <alignment horizontal="center" textRotation="90"/>
    </xf>
    <xf numFmtId="0" fontId="36" fillId="2" borderId="0" xfId="0" applyFont="1" applyFill="1" applyBorder="1" applyAlignment="1">
      <alignment horizontal="center" textRotation="90"/>
    </xf>
    <xf numFmtId="0" fontId="36" fillId="2" borderId="11" xfId="0" applyFont="1" applyFill="1" applyBorder="1" applyAlignment="1">
      <alignment horizontal="center" textRotation="90"/>
    </xf>
    <xf numFmtId="2" fontId="10" fillId="2" borderId="63" xfId="0" applyNumberFormat="1" applyFont="1" applyFill="1" applyBorder="1"/>
    <xf numFmtId="0" fontId="36" fillId="2" borderId="9" xfId="0" applyFont="1" applyFill="1" applyBorder="1" applyAlignment="1">
      <alignment horizontal="center" textRotation="90"/>
    </xf>
    <xf numFmtId="0" fontId="36" fillId="2" borderId="34" xfId="0" applyFont="1" applyFill="1" applyBorder="1" applyAlignment="1">
      <alignment horizontal="center" textRotation="90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3" fillId="6" borderId="27" xfId="0" applyFont="1" applyFill="1" applyBorder="1" applyAlignment="1">
      <alignment horizontal="left" wrapText="1"/>
    </xf>
    <xf numFmtId="0" fontId="11" fillId="2" borderId="31" xfId="0" applyNumberFormat="1" applyFont="1" applyFill="1" applyBorder="1"/>
    <xf numFmtId="0" fontId="2" fillId="2" borderId="11" xfId="0" applyNumberFormat="1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12" fillId="6" borderId="24" xfId="0" applyFont="1" applyFill="1" applyBorder="1"/>
    <xf numFmtId="0" fontId="15" fillId="2" borderId="11" xfId="0" applyFont="1" applyFill="1" applyBorder="1"/>
    <xf numFmtId="2" fontId="7" fillId="6" borderId="52" xfId="0" applyNumberFormat="1" applyFont="1" applyFill="1" applyBorder="1"/>
    <xf numFmtId="0" fontId="36" fillId="2" borderId="32" xfId="0" applyFont="1" applyFill="1" applyBorder="1" applyAlignment="1">
      <alignment horizontal="center"/>
    </xf>
    <xf numFmtId="1" fontId="12" fillId="2" borderId="67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6" fillId="2" borderId="30" xfId="0" applyFont="1" applyFill="1" applyBorder="1" applyAlignment="1">
      <alignment horizontal="center" textRotation="90"/>
    </xf>
    <xf numFmtId="0" fontId="36" fillId="2" borderId="31" xfId="0" applyFont="1" applyFill="1" applyBorder="1" applyAlignment="1">
      <alignment horizontal="center" textRotation="90"/>
    </xf>
    <xf numFmtId="0" fontId="36" fillId="2" borderId="33" xfId="0" applyFont="1" applyFill="1" applyBorder="1" applyAlignment="1">
      <alignment horizontal="center" textRotation="90"/>
    </xf>
    <xf numFmtId="0" fontId="7" fillId="2" borderId="46" xfId="0" applyFont="1" applyFill="1" applyBorder="1" applyAlignment="1">
      <alignment horizontal="center" textRotation="90"/>
    </xf>
    <xf numFmtId="0" fontId="7" fillId="2" borderId="48" xfId="0" applyFont="1" applyFill="1" applyBorder="1" applyAlignment="1">
      <alignment horizontal="center" textRotation="90"/>
    </xf>
    <xf numFmtId="0" fontId="7" fillId="2" borderId="49" xfId="0" applyFont="1" applyFill="1" applyBorder="1" applyAlignment="1">
      <alignment horizontal="center" textRotation="90"/>
    </xf>
    <xf numFmtId="0" fontId="7" fillId="2" borderId="14" xfId="0" applyFont="1" applyFill="1" applyBorder="1" applyAlignment="1">
      <alignment horizontal="center" textRotation="90"/>
    </xf>
    <xf numFmtId="0" fontId="7" fillId="2" borderId="0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0" fontId="35" fillId="2" borderId="9" xfId="0" applyFont="1" applyFill="1" applyBorder="1" applyAlignment="1">
      <alignment horizontal="center"/>
    </xf>
    <xf numFmtId="0" fontId="9" fillId="0" borderId="51" xfId="0" applyFont="1" applyBorder="1"/>
    <xf numFmtId="0" fontId="12" fillId="2" borderId="1" xfId="0" applyFont="1" applyFill="1" applyBorder="1"/>
    <xf numFmtId="2" fontId="34" fillId="2" borderId="2" xfId="0" applyNumberFormat="1" applyFont="1" applyFill="1" applyBorder="1"/>
    <xf numFmtId="1" fontId="9" fillId="6" borderId="65" xfId="0" applyNumberFormat="1" applyFont="1" applyFill="1" applyBorder="1"/>
    <xf numFmtId="0" fontId="9" fillId="2" borderId="48" xfId="0" applyFont="1" applyFill="1" applyBorder="1"/>
    <xf numFmtId="0" fontId="9" fillId="6" borderId="65" xfId="0" applyFont="1" applyFill="1" applyBorder="1"/>
    <xf numFmtId="0" fontId="9" fillId="2" borderId="49" xfId="0" applyFont="1" applyFill="1" applyBorder="1"/>
    <xf numFmtId="0" fontId="28" fillId="6" borderId="65" xfId="0" applyFont="1" applyFill="1" applyBorder="1"/>
    <xf numFmtId="0" fontId="9" fillId="6" borderId="71" xfId="0" applyFont="1" applyFill="1" applyBorder="1"/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6" borderId="49" xfId="0" applyFont="1" applyFill="1" applyBorder="1"/>
    <xf numFmtId="0" fontId="13" fillId="6" borderId="56" xfId="0" applyFont="1" applyFill="1" applyBorder="1"/>
    <xf numFmtId="0" fontId="2" fillId="6" borderId="55" xfId="0" applyFont="1" applyFill="1" applyBorder="1"/>
    <xf numFmtId="0" fontId="9" fillId="2" borderId="64" xfId="0" applyFont="1" applyFill="1" applyBorder="1"/>
    <xf numFmtId="0" fontId="12" fillId="6" borderId="27" xfId="0" applyFont="1" applyFill="1" applyBorder="1"/>
    <xf numFmtId="0" fontId="3" fillId="2" borderId="68" xfId="0" applyFont="1" applyFill="1" applyBorder="1"/>
    <xf numFmtId="0" fontId="2" fillId="2" borderId="34" xfId="0" applyFont="1" applyFill="1" applyBorder="1" applyAlignment="1">
      <alignment horizontal="center" vertical="center"/>
    </xf>
    <xf numFmtId="2" fontId="21" fillId="6" borderId="65" xfId="0" applyNumberFormat="1" applyFont="1" applyFill="1" applyBorder="1"/>
    <xf numFmtId="49" fontId="2" fillId="0" borderId="0" xfId="0" applyNumberFormat="1" applyFont="1" applyBorder="1" applyAlignment="1">
      <alignment horizontal="center"/>
    </xf>
    <xf numFmtId="0" fontId="35" fillId="0" borderId="0" xfId="0" applyFont="1" applyBorder="1"/>
    <xf numFmtId="0" fontId="40" fillId="0" borderId="0" xfId="0" applyFont="1"/>
    <xf numFmtId="0" fontId="10" fillId="2" borderId="54" xfId="0" applyFont="1" applyFill="1" applyBorder="1"/>
    <xf numFmtId="0" fontId="34" fillId="2" borderId="34" xfId="0" applyNumberFormat="1" applyFont="1" applyFill="1" applyBorder="1"/>
    <xf numFmtId="0" fontId="11" fillId="2" borderId="66" xfId="0" applyFont="1" applyFill="1" applyBorder="1"/>
    <xf numFmtId="0" fontId="11" fillId="2" borderId="55" xfId="0" applyFont="1" applyFill="1" applyBorder="1"/>
    <xf numFmtId="0" fontId="15" fillId="2" borderId="56" xfId="0" applyFont="1" applyFill="1" applyBorder="1"/>
    <xf numFmtId="0" fontId="15" fillId="2" borderId="63" xfId="0" applyFont="1" applyFill="1" applyBorder="1"/>
    <xf numFmtId="0" fontId="2" fillId="2" borderId="69" xfId="0" applyFont="1" applyFill="1" applyBorder="1" applyAlignment="1">
      <alignment horizontal="center" vertical="center"/>
    </xf>
    <xf numFmtId="0" fontId="28" fillId="2" borderId="32" xfId="0" applyFont="1" applyFill="1" applyBorder="1"/>
    <xf numFmtId="2" fontId="3" fillId="2" borderId="55" xfId="0" applyNumberFormat="1" applyFont="1" applyFill="1" applyBorder="1"/>
    <xf numFmtId="164" fontId="29" fillId="6" borderId="47" xfId="0" applyNumberFormat="1" applyFont="1" applyFill="1" applyBorder="1"/>
    <xf numFmtId="2" fontId="3" fillId="2" borderId="66" xfId="0" applyNumberFormat="1" applyFont="1" applyFill="1" applyBorder="1"/>
    <xf numFmtId="2" fontId="7" fillId="0" borderId="11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78" xfId="0" applyFont="1" applyBorder="1" applyAlignment="1"/>
    <xf numFmtId="0" fontId="0" fillId="0" borderId="77" xfId="0" applyBorder="1"/>
    <xf numFmtId="0" fontId="0" fillId="0" borderId="21" xfId="0" applyBorder="1"/>
    <xf numFmtId="0" fontId="3" fillId="0" borderId="38" xfId="0" applyFont="1" applyBorder="1"/>
    <xf numFmtId="49" fontId="2" fillId="0" borderId="22" xfId="0" applyNumberFormat="1" applyFont="1" applyBorder="1" applyAlignment="1">
      <alignment horizontal="center"/>
    </xf>
    <xf numFmtId="0" fontId="3" fillId="0" borderId="31" xfId="0" applyFont="1" applyBorder="1"/>
    <xf numFmtId="0" fontId="3" fillId="0" borderId="21" xfId="0" applyFont="1" applyBorder="1"/>
    <xf numFmtId="0" fontId="2" fillId="0" borderId="79" xfId="0" applyFont="1" applyBorder="1" applyAlignme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36" fillId="2" borderId="14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6" fillId="2" borderId="0" xfId="0" applyFont="1" applyFill="1" applyBorder="1" applyAlignment="1">
      <alignment horizontal="center" textRotation="90"/>
    </xf>
    <xf numFmtId="0" fontId="36" fillId="2" borderId="11" xfId="0" applyFont="1" applyFill="1" applyBorder="1" applyAlignment="1">
      <alignment horizontal="center" textRotation="90"/>
    </xf>
    <xf numFmtId="0" fontId="35" fillId="2" borderId="32" xfId="0" applyFont="1" applyFill="1" applyBorder="1" applyAlignment="1">
      <alignment horizontal="center" textRotation="90"/>
    </xf>
    <xf numFmtId="0" fontId="35" fillId="2" borderId="9" xfId="0" applyFont="1" applyFill="1" applyBorder="1" applyAlignment="1">
      <alignment horizontal="center" textRotation="90"/>
    </xf>
    <xf numFmtId="0" fontId="35" fillId="2" borderId="34" xfId="0" applyFont="1" applyFill="1" applyBorder="1" applyAlignment="1">
      <alignment horizontal="center" textRotation="90"/>
    </xf>
    <xf numFmtId="0" fontId="35" fillId="2" borderId="43" xfId="0" applyFont="1" applyFill="1" applyBorder="1" applyAlignment="1">
      <alignment horizontal="center" textRotation="90"/>
    </xf>
    <xf numFmtId="49" fontId="2" fillId="0" borderId="11" xfId="0" applyNumberFormat="1" applyFont="1" applyBorder="1" applyAlignment="1">
      <alignment horizontal="center"/>
    </xf>
    <xf numFmtId="0" fontId="0" fillId="0" borderId="9" xfId="0" applyFont="1" applyBorder="1"/>
    <xf numFmtId="0" fontId="3" fillId="0" borderId="34" xfId="0" applyFont="1" applyBorder="1"/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/>
    <xf numFmtId="0" fontId="2" fillId="0" borderId="9" xfId="0" applyFont="1" applyBorder="1" applyAlignment="1">
      <alignment horizontal="right"/>
    </xf>
    <xf numFmtId="0" fontId="0" fillId="0" borderId="22" xfId="0" applyBorder="1"/>
    <xf numFmtId="0" fontId="36" fillId="0" borderId="0" xfId="0" applyFont="1" applyBorder="1"/>
    <xf numFmtId="0" fontId="2" fillId="0" borderId="37" xfId="0" applyFont="1" applyBorder="1" applyAlignment="1"/>
    <xf numFmtId="0" fontId="3" fillId="0" borderId="22" xfId="0" applyFont="1" applyBorder="1"/>
    <xf numFmtId="49" fontId="2" fillId="0" borderId="11" xfId="0" applyNumberFormat="1" applyFont="1" applyBorder="1" applyAlignment="1">
      <alignment horizontal="center"/>
    </xf>
    <xf numFmtId="0" fontId="2" fillId="0" borderId="80" xfId="0" applyFont="1" applyBorder="1" applyAlignment="1"/>
    <xf numFmtId="0" fontId="3" fillId="0" borderId="37" xfId="0" applyFont="1" applyBorder="1"/>
    <xf numFmtId="0" fontId="2" fillId="0" borderId="22" xfId="0" applyFont="1" applyBorder="1" applyAlignment="1"/>
    <xf numFmtId="0" fontId="0" fillId="0" borderId="23" xfId="0" applyBorder="1"/>
    <xf numFmtId="0" fontId="0" fillId="0" borderId="25" xfId="0" applyBorder="1"/>
    <xf numFmtId="0" fontId="22" fillId="0" borderId="0" xfId="0" applyFont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/>
    <xf numFmtId="0" fontId="47" fillId="0" borderId="0" xfId="0" applyFont="1" applyBorder="1"/>
    <xf numFmtId="0" fontId="48" fillId="0" borderId="0" xfId="0" applyFont="1" applyBorder="1"/>
    <xf numFmtId="0" fontId="33" fillId="0" borderId="0" xfId="0" applyFont="1" applyBorder="1"/>
    <xf numFmtId="0" fontId="8" fillId="0" borderId="0" xfId="0" applyFont="1" applyBorder="1"/>
    <xf numFmtId="0" fontId="49" fillId="0" borderId="0" xfId="0" applyFont="1" applyBorder="1"/>
    <xf numFmtId="0" fontId="2" fillId="0" borderId="27" xfId="0" applyFont="1" applyBorder="1" applyAlignment="1">
      <alignment horizontal="center" vertical="center"/>
    </xf>
    <xf numFmtId="0" fontId="2" fillId="0" borderId="56" xfId="0" applyFont="1" applyBorder="1"/>
    <xf numFmtId="0" fontId="2" fillId="0" borderId="11" xfId="0" applyFont="1" applyBorder="1"/>
    <xf numFmtId="0" fontId="2" fillId="0" borderId="80" xfId="0" applyFont="1" applyBorder="1"/>
    <xf numFmtId="0" fontId="2" fillId="0" borderId="77" xfId="0" applyFont="1" applyBorder="1"/>
    <xf numFmtId="0" fontId="2" fillId="0" borderId="60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0" fillId="0" borderId="76" xfId="0" applyBorder="1"/>
    <xf numFmtId="0" fontId="0" fillId="0" borderId="44" xfId="0" applyBorder="1"/>
    <xf numFmtId="0" fontId="0" fillId="0" borderId="52" xfId="0" applyBorder="1"/>
    <xf numFmtId="0" fontId="41" fillId="0" borderId="4" xfId="0" applyFont="1" applyBorder="1" applyAlignment="1">
      <alignment horizontal="center"/>
    </xf>
    <xf numFmtId="0" fontId="2" fillId="0" borderId="3" xfId="0" applyFont="1" applyBorder="1"/>
    <xf numFmtId="0" fontId="41" fillId="0" borderId="53" xfId="0" applyFont="1" applyBorder="1" applyAlignment="1">
      <alignment horizontal="center"/>
    </xf>
    <xf numFmtId="0" fontId="2" fillId="0" borderId="31" xfId="0" applyFont="1" applyBorder="1"/>
    <xf numFmtId="0" fontId="19" fillId="0" borderId="28" xfId="0" applyFont="1" applyBorder="1" applyAlignment="1">
      <alignment horizontal="center"/>
    </xf>
    <xf numFmtId="0" fontId="9" fillId="0" borderId="9" xfId="0" applyFont="1" applyBorder="1"/>
    <xf numFmtId="0" fontId="35" fillId="2" borderId="42" xfId="0" applyFont="1" applyFill="1" applyBorder="1" applyAlignment="1">
      <alignment horizontal="center"/>
    </xf>
    <xf numFmtId="0" fontId="53" fillId="2" borderId="42" xfId="0" applyFont="1" applyFill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3" fillId="0" borderId="54" xfId="0" applyFont="1" applyBorder="1"/>
    <xf numFmtId="164" fontId="7" fillId="6" borderId="25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6" fillId="2" borderId="30" xfId="0" applyFont="1" applyFill="1" applyBorder="1" applyAlignment="1">
      <alignment horizontal="center" textRotation="90"/>
    </xf>
    <xf numFmtId="0" fontId="36" fillId="2" borderId="31" xfId="0" applyFont="1" applyFill="1" applyBorder="1" applyAlignment="1">
      <alignment horizontal="center" textRotation="90"/>
    </xf>
    <xf numFmtId="0" fontId="36" fillId="2" borderId="33" xfId="0" applyFont="1" applyFill="1" applyBorder="1" applyAlignment="1">
      <alignment horizontal="center" textRotation="90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7" fillId="6" borderId="53" xfId="0" applyNumberFormat="1" applyFont="1" applyFill="1" applyBorder="1"/>
    <xf numFmtId="164" fontId="7" fillId="6" borderId="52" xfId="0" applyNumberFormat="1" applyFont="1" applyFill="1" applyBorder="1"/>
    <xf numFmtId="0" fontId="56" fillId="0" borderId="8" xfId="0" applyFont="1" applyBorder="1"/>
    <xf numFmtId="0" fontId="57" fillId="0" borderId="29" xfId="0" applyFont="1" applyBorder="1"/>
    <xf numFmtId="0" fontId="57" fillId="0" borderId="12" xfId="0" applyFont="1" applyBorder="1"/>
    <xf numFmtId="0" fontId="56" fillId="0" borderId="6" xfId="0" applyFont="1" applyBorder="1"/>
    <xf numFmtId="0" fontId="54" fillId="0" borderId="0" xfId="0" applyFont="1"/>
    <xf numFmtId="0" fontId="2" fillId="0" borderId="28" xfId="0" applyFont="1" applyBorder="1"/>
    <xf numFmtId="0" fontId="2" fillId="0" borderId="81" xfId="0" applyFont="1" applyBorder="1"/>
    <xf numFmtId="0" fontId="2" fillId="0" borderId="82" xfId="0" applyFont="1" applyBorder="1"/>
    <xf numFmtId="0" fontId="2" fillId="0" borderId="22" xfId="0" applyFont="1" applyBorder="1"/>
    <xf numFmtId="0" fontId="2" fillId="0" borderId="83" xfId="0" applyFont="1" applyBorder="1"/>
    <xf numFmtId="0" fontId="2" fillId="0" borderId="34" xfId="0" applyFont="1" applyBorder="1" applyAlignment="1">
      <alignment horizontal="center" vertical="center"/>
    </xf>
    <xf numFmtId="2" fontId="10" fillId="2" borderId="72" xfId="0" applyNumberFormat="1" applyFont="1" applyFill="1" applyBorder="1"/>
    <xf numFmtId="2" fontId="10" fillId="2" borderId="41" xfId="0" applyNumberFormat="1" applyFont="1" applyFill="1" applyBorder="1"/>
    <xf numFmtId="0" fontId="11" fillId="2" borderId="43" xfId="0" applyNumberFormat="1" applyFont="1" applyFill="1" applyBorder="1"/>
    <xf numFmtId="0" fontId="2" fillId="2" borderId="43" xfId="0" applyNumberFormat="1" applyFont="1" applyFill="1" applyBorder="1"/>
    <xf numFmtId="1" fontId="12" fillId="2" borderId="57" xfId="0" applyNumberFormat="1" applyFont="1" applyFill="1" applyBorder="1"/>
    <xf numFmtId="1" fontId="9" fillId="6" borderId="25" xfId="0" applyNumberFormat="1" applyFont="1" applyFill="1" applyBorder="1"/>
    <xf numFmtId="1" fontId="13" fillId="6" borderId="56" xfId="0" applyNumberFormat="1" applyFont="1" applyFill="1" applyBorder="1"/>
    <xf numFmtId="0" fontId="2" fillId="2" borderId="41" xfId="0" applyNumberFormat="1" applyFont="1" applyFill="1" applyBorder="1"/>
    <xf numFmtId="0" fontId="10" fillId="2" borderId="66" xfId="0" applyNumberFormat="1" applyFont="1" applyFill="1" applyBorder="1"/>
    <xf numFmtId="2" fontId="15" fillId="6" borderId="56" xfId="0" applyNumberFormat="1" applyFont="1" applyFill="1" applyBorder="1"/>
    <xf numFmtId="2" fontId="9" fillId="2" borderId="17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12" fillId="2" borderId="55" xfId="0" applyFont="1" applyFill="1" applyBorder="1"/>
    <xf numFmtId="2" fontId="3" fillId="2" borderId="75" xfId="0" applyNumberFormat="1" applyFont="1" applyFill="1" applyBorder="1"/>
    <xf numFmtId="0" fontId="2" fillId="0" borderId="6" xfId="0" applyFont="1" applyBorder="1" applyAlignment="1">
      <alignment horizontal="left" wrapText="1"/>
    </xf>
    <xf numFmtId="0" fontId="12" fillId="3" borderId="2" xfId="0" applyFont="1" applyFill="1" applyBorder="1"/>
    <xf numFmtId="0" fontId="12" fillId="2" borderId="34" xfId="0" applyFont="1" applyFill="1" applyBorder="1"/>
    <xf numFmtId="0" fontId="9" fillId="5" borderId="55" xfId="0" applyFont="1" applyFill="1" applyBorder="1"/>
    <xf numFmtId="0" fontId="12" fillId="2" borderId="11" xfId="0" applyFont="1" applyFill="1" applyBorder="1"/>
    <xf numFmtId="0" fontId="12" fillId="2" borderId="64" xfId="0" applyFont="1" applyFill="1" applyBorder="1"/>
    <xf numFmtId="0" fontId="2" fillId="0" borderId="12" xfId="0" applyFont="1" applyBorder="1" applyAlignment="1">
      <alignment horizontal="center" vertical="center"/>
    </xf>
    <xf numFmtId="164" fontId="10" fillId="2" borderId="34" xfId="0" applyNumberFormat="1" applyFont="1" applyFill="1" applyBorder="1"/>
    <xf numFmtId="2" fontId="10" fillId="2" borderId="55" xfId="0" applyNumberFormat="1" applyFont="1" applyFill="1" applyBorder="1"/>
    <xf numFmtId="2" fontId="12" fillId="6" borderId="24" xfId="0" applyNumberFormat="1" applyFont="1" applyFill="1" applyBorder="1"/>
    <xf numFmtId="0" fontId="3" fillId="2" borderId="66" xfId="0" applyFont="1" applyFill="1" applyBorder="1"/>
    <xf numFmtId="2" fontId="13" fillId="6" borderId="62" xfId="0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2" fontId="3" fillId="0" borderId="14" xfId="0" applyNumberFormat="1" applyFont="1" applyBorder="1"/>
    <xf numFmtId="0" fontId="2" fillId="0" borderId="31" xfId="0" applyFont="1" applyBorder="1" applyAlignment="1">
      <alignment horizontal="center"/>
    </xf>
    <xf numFmtId="0" fontId="11" fillId="0" borderId="6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6" fillId="2" borderId="14" xfId="0" applyFont="1" applyFill="1" applyBorder="1" applyAlignment="1">
      <alignment horizontal="center" textRotation="90"/>
    </xf>
    <xf numFmtId="0" fontId="36" fillId="2" borderId="0" xfId="0" applyFont="1" applyFill="1" applyBorder="1" applyAlignment="1">
      <alignment horizontal="center" textRotation="90"/>
    </xf>
    <xf numFmtId="0" fontId="36" fillId="2" borderId="11" xfId="0" applyFont="1" applyFill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textRotation="90"/>
    </xf>
    <xf numFmtId="0" fontId="7" fillId="2" borderId="48" xfId="0" applyFont="1" applyFill="1" applyBorder="1" applyAlignment="1">
      <alignment horizontal="center" textRotation="90"/>
    </xf>
    <xf numFmtId="0" fontId="7" fillId="2" borderId="49" xfId="0" applyFont="1" applyFill="1" applyBorder="1" applyAlignment="1">
      <alignment horizontal="center" textRotation="90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7" fillId="2" borderId="14" xfId="0" applyFont="1" applyFill="1" applyBorder="1" applyAlignment="1">
      <alignment horizontal="center" textRotation="90"/>
    </xf>
    <xf numFmtId="0" fontId="7" fillId="2" borderId="0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2" fontId="50" fillId="2" borderId="34" xfId="0" applyNumberFormat="1" applyFont="1" applyFill="1" applyBorder="1"/>
    <xf numFmtId="2" fontId="21" fillId="2" borderId="2" xfId="0" applyNumberFormat="1" applyFont="1" applyFill="1" applyBorder="1"/>
    <xf numFmtId="0" fontId="2" fillId="0" borderId="30" xfId="0" applyFont="1" applyBorder="1" applyAlignment="1">
      <alignment horizontal="center"/>
    </xf>
    <xf numFmtId="2" fontId="12" fillId="6" borderId="46" xfId="0" applyNumberFormat="1" applyFont="1" applyFill="1" applyBorder="1"/>
    <xf numFmtId="0" fontId="7" fillId="2" borderId="68" xfId="0" applyFont="1" applyFill="1" applyBorder="1"/>
    <xf numFmtId="2" fontId="7" fillId="2" borderId="55" xfId="0" applyNumberFormat="1" applyFont="1" applyFill="1" applyBorder="1"/>
    <xf numFmtId="2" fontId="2" fillId="2" borderId="66" xfId="0" applyNumberFormat="1" applyFont="1" applyFill="1" applyBorder="1"/>
    <xf numFmtId="2" fontId="9" fillId="2" borderId="66" xfId="0" applyNumberFormat="1" applyFont="1" applyFill="1" applyBorder="1"/>
    <xf numFmtId="2" fontId="11" fillId="2" borderId="11" xfId="0" applyNumberFormat="1" applyFont="1" applyFill="1" applyBorder="1"/>
    <xf numFmtId="2" fontId="9" fillId="2" borderId="11" xfId="0" applyNumberFormat="1" applyFont="1" applyFill="1" applyBorder="1"/>
    <xf numFmtId="2" fontId="10" fillId="0" borderId="63" xfId="0" applyNumberFormat="1" applyFont="1" applyFill="1" applyBorder="1"/>
    <xf numFmtId="1" fontId="37" fillId="6" borderId="52" xfId="0" applyNumberFormat="1" applyFont="1" applyFill="1" applyBorder="1"/>
    <xf numFmtId="0" fontId="2" fillId="0" borderId="3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2" borderId="11" xfId="0" applyNumberFormat="1" applyFont="1" applyFill="1" applyBorder="1"/>
    <xf numFmtId="1" fontId="13" fillId="6" borderId="24" xfId="0" applyNumberFormat="1" applyFont="1" applyFill="1" applyBorder="1"/>
    <xf numFmtId="0" fontId="35" fillId="2" borderId="5" xfId="0" applyFont="1" applyFill="1" applyBorder="1" applyAlignment="1">
      <alignment horizontal="center" textRotation="90"/>
    </xf>
    <xf numFmtId="0" fontId="12" fillId="2" borderId="5" xfId="0" applyFont="1" applyFill="1" applyBorder="1"/>
    <xf numFmtId="1" fontId="12" fillId="2" borderId="36" xfId="0" applyNumberFormat="1" applyFont="1" applyFill="1" applyBorder="1"/>
    <xf numFmtId="2" fontId="9" fillId="2" borderId="3" xfId="0" applyNumberFormat="1" applyFont="1" applyFill="1" applyBorder="1"/>
    <xf numFmtId="2" fontId="9" fillId="6" borderId="53" xfId="0" applyNumberFormat="1" applyFont="1" applyFill="1" applyBorder="1"/>
    <xf numFmtId="0" fontId="10" fillId="2" borderId="3" xfId="0" applyNumberFormat="1" applyFont="1" applyFill="1" applyBorder="1"/>
    <xf numFmtId="2" fontId="13" fillId="6" borderId="53" xfId="0" applyNumberFormat="1" applyFont="1" applyFill="1" applyBorder="1"/>
    <xf numFmtId="2" fontId="12" fillId="6" borderId="53" xfId="0" applyNumberFormat="1" applyFont="1" applyFill="1" applyBorder="1"/>
    <xf numFmtId="0" fontId="8" fillId="2" borderId="3" xfId="0" applyNumberFormat="1" applyFont="1" applyFill="1" applyBorder="1"/>
    <xf numFmtId="1" fontId="9" fillId="6" borderId="53" xfId="0" applyNumberFormat="1" applyFont="1" applyFill="1" applyBorder="1"/>
    <xf numFmtId="0" fontId="2" fillId="2" borderId="59" xfId="0" applyNumberFormat="1" applyFont="1" applyFill="1" applyBorder="1"/>
    <xf numFmtId="0" fontId="3" fillId="2" borderId="7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15" fillId="2" borderId="3" xfId="0" applyFont="1" applyFill="1" applyBorder="1"/>
    <xf numFmtId="2" fontId="13" fillId="6" borderId="7" xfId="0" applyNumberFormat="1" applyFont="1" applyFill="1" applyBorder="1"/>
    <xf numFmtId="1" fontId="13" fillId="6" borderId="53" xfId="0" applyNumberFormat="1" applyFont="1" applyFill="1" applyBorder="1"/>
    <xf numFmtId="2" fontId="11" fillId="2" borderId="3" xfId="0" applyNumberFormat="1" applyFont="1" applyFill="1" applyBorder="1"/>
    <xf numFmtId="0" fontId="2" fillId="2" borderId="3" xfId="0" applyNumberFormat="1" applyFont="1" applyFill="1" applyBorder="1"/>
    <xf numFmtId="2" fontId="19" fillId="6" borderId="7" xfId="0" applyNumberFormat="1" applyFont="1" applyFill="1" applyBorder="1"/>
    <xf numFmtId="0" fontId="2" fillId="2" borderId="55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textRotation="90"/>
    </xf>
    <xf numFmtId="0" fontId="36" fillId="2" borderId="0" xfId="0" applyFont="1" applyFill="1" applyBorder="1" applyAlignment="1">
      <alignment horizontal="center" textRotation="90"/>
    </xf>
    <xf numFmtId="0" fontId="36" fillId="2" borderId="11" xfId="0" applyFont="1" applyFill="1" applyBorder="1" applyAlignment="1">
      <alignment horizontal="center" textRotation="90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5" fillId="2" borderId="32" xfId="0" applyFont="1" applyFill="1" applyBorder="1" applyAlignment="1">
      <alignment horizontal="center" textRotation="90"/>
    </xf>
    <xf numFmtId="0" fontId="2" fillId="0" borderId="6" xfId="0" applyFont="1" applyBorder="1" applyAlignment="1">
      <alignment horizontal="center" vertical="center"/>
    </xf>
    <xf numFmtId="0" fontId="35" fillId="2" borderId="9" xfId="0" applyFont="1" applyFill="1" applyBorder="1" applyAlignment="1">
      <alignment horizontal="center" textRotation="90"/>
    </xf>
    <xf numFmtId="0" fontId="35" fillId="2" borderId="34" xfId="0" applyFont="1" applyFill="1" applyBorder="1" applyAlignment="1">
      <alignment horizontal="center" textRotation="90"/>
    </xf>
    <xf numFmtId="0" fontId="35" fillId="2" borderId="43" xfId="0" applyFont="1" applyFill="1" applyBorder="1" applyAlignment="1">
      <alignment horizontal="center" textRotation="90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6" fillId="2" borderId="9" xfId="0" applyFont="1" applyFill="1" applyBorder="1" applyAlignment="1">
      <alignment horizontal="center" textRotation="90"/>
    </xf>
    <xf numFmtId="0" fontId="36" fillId="2" borderId="34" xfId="0" applyFont="1" applyFill="1" applyBorder="1" applyAlignment="1">
      <alignment horizontal="center" textRotation="90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19" fillId="2" borderId="61" xfId="0" applyNumberFormat="1" applyFont="1" applyFill="1" applyBorder="1"/>
    <xf numFmtId="0" fontId="2" fillId="0" borderId="22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2" fillId="0" borderId="7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2" fontId="10" fillId="2" borderId="66" xfId="0" applyNumberFormat="1" applyFont="1" applyFill="1" applyBorder="1"/>
    <xf numFmtId="0" fontId="3" fillId="0" borderId="11" xfId="0" applyFont="1" applyBorder="1"/>
    <xf numFmtId="2" fontId="24" fillId="4" borderId="14" xfId="0" applyNumberFormat="1" applyFont="1" applyFill="1" applyBorder="1"/>
    <xf numFmtId="2" fontId="24" fillId="4" borderId="60" xfId="0" applyNumberFormat="1" applyFont="1" applyFill="1" applyBorder="1"/>
    <xf numFmtId="2" fontId="24" fillId="4" borderId="0" xfId="0" applyNumberFormat="1" applyFont="1" applyFill="1" applyBorder="1"/>
    <xf numFmtId="0" fontId="7" fillId="0" borderId="1" xfId="0" applyFont="1" applyBorder="1" applyAlignment="1">
      <alignment horizontal="left" wrapText="1"/>
    </xf>
    <xf numFmtId="0" fontId="11" fillId="2" borderId="0" xfId="0" applyNumberFormat="1" applyFont="1" applyFill="1" applyBorder="1"/>
    <xf numFmtId="2" fontId="2" fillId="0" borderId="54" xfId="0" applyNumberFormat="1" applyFont="1" applyBorder="1"/>
    <xf numFmtId="2" fontId="10" fillId="2" borderId="9" xfId="0" applyNumberFormat="1" applyFont="1" applyFill="1" applyBorder="1"/>
    <xf numFmtId="0" fontId="10" fillId="2" borderId="9" xfId="0" applyFont="1" applyFill="1" applyBorder="1"/>
    <xf numFmtId="0" fontId="20" fillId="2" borderId="42" xfId="0" applyFont="1" applyFill="1" applyBorder="1"/>
    <xf numFmtId="2" fontId="2" fillId="2" borderId="75" xfId="0" applyNumberFormat="1" applyFont="1" applyFill="1" applyBorder="1"/>
    <xf numFmtId="0" fontId="9" fillId="2" borderId="75" xfId="0" applyFont="1" applyFill="1" applyBorder="1"/>
    <xf numFmtId="0" fontId="11" fillId="2" borderId="68" xfId="0" applyFont="1" applyFill="1" applyBorder="1"/>
    <xf numFmtId="0" fontId="9" fillId="2" borderId="56" xfId="0" applyFont="1" applyFill="1" applyBorder="1"/>
    <xf numFmtId="2" fontId="12" fillId="6" borderId="44" xfId="0" applyNumberFormat="1" applyFont="1" applyFill="1" applyBorder="1"/>
    <xf numFmtId="0" fontId="10" fillId="2" borderId="68" xfId="0" applyFont="1" applyFill="1" applyBorder="1"/>
    <xf numFmtId="0" fontId="15" fillId="6" borderId="84" xfId="0" applyFont="1" applyFill="1" applyBorder="1"/>
    <xf numFmtId="0" fontId="2" fillId="2" borderId="85" xfId="0" applyFont="1" applyFill="1" applyBorder="1"/>
    <xf numFmtId="2" fontId="8" fillId="2" borderId="3" xfId="0" applyNumberFormat="1" applyFont="1" applyFill="1" applyBorder="1"/>
    <xf numFmtId="2" fontId="8" fillId="2" borderId="34" xfId="0" applyNumberFormat="1" applyFont="1" applyFill="1" applyBorder="1"/>
    <xf numFmtId="0" fontId="58" fillId="2" borderId="9" xfId="0" applyFont="1" applyFill="1" applyBorder="1"/>
    <xf numFmtId="1" fontId="58" fillId="2" borderId="51" xfId="0" applyNumberFormat="1" applyFont="1" applyFill="1" applyBorder="1"/>
    <xf numFmtId="0" fontId="36" fillId="2" borderId="14" xfId="0" applyFont="1" applyFill="1" applyBorder="1" applyAlignment="1">
      <alignment horizontal="center" textRotation="90"/>
    </xf>
    <xf numFmtId="0" fontId="36" fillId="2" borderId="0" xfId="0" applyFont="1" applyFill="1" applyBorder="1" applyAlignment="1">
      <alignment horizontal="center" textRotation="90"/>
    </xf>
    <xf numFmtId="0" fontId="36" fillId="2" borderId="11" xfId="0" applyFont="1" applyFill="1" applyBorder="1" applyAlignment="1">
      <alignment horizontal="center" textRotation="90"/>
    </xf>
    <xf numFmtId="0" fontId="36" fillId="2" borderId="30" xfId="0" applyFont="1" applyFill="1" applyBorder="1" applyAlignment="1">
      <alignment horizontal="center" textRotation="90"/>
    </xf>
    <xf numFmtId="0" fontId="36" fillId="2" borderId="31" xfId="0" applyFont="1" applyFill="1" applyBorder="1" applyAlignment="1">
      <alignment horizontal="center" textRotation="90"/>
    </xf>
    <xf numFmtId="0" fontId="36" fillId="2" borderId="33" xfId="0" applyFont="1" applyFill="1" applyBorder="1" applyAlignment="1">
      <alignment horizontal="center" textRotation="90"/>
    </xf>
    <xf numFmtId="0" fontId="36" fillId="2" borderId="46" xfId="0" applyFont="1" applyFill="1" applyBorder="1" applyAlignment="1">
      <alignment horizontal="center" textRotation="90"/>
    </xf>
    <xf numFmtId="0" fontId="36" fillId="2" borderId="48" xfId="0" applyFont="1" applyFill="1" applyBorder="1" applyAlignment="1">
      <alignment horizontal="center" textRotation="90"/>
    </xf>
    <xf numFmtId="0" fontId="36" fillId="2" borderId="49" xfId="0" applyFont="1" applyFill="1" applyBorder="1" applyAlignment="1">
      <alignment horizontal="center" textRotation="90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46" xfId="0" applyFont="1" applyFill="1" applyBorder="1" applyAlignment="1">
      <alignment horizontal="center" textRotation="90"/>
    </xf>
    <xf numFmtId="0" fontId="7" fillId="2" borderId="48" xfId="0" applyFont="1" applyFill="1" applyBorder="1" applyAlignment="1">
      <alignment horizontal="center" textRotation="90"/>
    </xf>
    <xf numFmtId="0" fontId="7" fillId="2" borderId="49" xfId="0" applyFont="1" applyFill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6" fillId="2" borderId="62" xfId="0" applyFont="1" applyFill="1" applyBorder="1" applyAlignment="1">
      <alignment horizontal="center" textRotation="90"/>
    </xf>
    <xf numFmtId="0" fontId="36" fillId="2" borderId="42" xfId="0" applyFont="1" applyFill="1" applyBorder="1" applyAlignment="1">
      <alignment horizontal="center" textRotation="90"/>
    </xf>
    <xf numFmtId="0" fontId="2" fillId="0" borderId="12" xfId="0" applyFont="1" applyBorder="1" applyAlignment="1">
      <alignment horizontal="center"/>
    </xf>
    <xf numFmtId="0" fontId="7" fillId="2" borderId="14" xfId="0" applyFont="1" applyFill="1" applyBorder="1" applyAlignment="1">
      <alignment horizontal="center" textRotation="90"/>
    </xf>
    <xf numFmtId="0" fontId="7" fillId="2" borderId="0" xfId="0" applyFont="1" applyFill="1" applyBorder="1" applyAlignment="1">
      <alignment horizontal="center" textRotation="90"/>
    </xf>
    <xf numFmtId="0" fontId="7" fillId="2" borderId="31" xfId="0" applyFont="1" applyFill="1" applyBorder="1" applyAlignment="1">
      <alignment horizontal="center" textRotation="90"/>
    </xf>
    <xf numFmtId="0" fontId="7" fillId="2" borderId="33" xfId="0" applyFont="1" applyFill="1" applyBorder="1" applyAlignment="1">
      <alignment horizontal="center" textRotation="90"/>
    </xf>
    <xf numFmtId="0" fontId="2" fillId="0" borderId="6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0" fontId="0" fillId="0" borderId="82" xfId="0" applyBorder="1"/>
    <xf numFmtId="164" fontId="29" fillId="6" borderId="65" xfId="0" applyNumberFormat="1" applyFont="1" applyFill="1" applyBorder="1"/>
    <xf numFmtId="0" fontId="12" fillId="2" borderId="7" xfId="0" applyFont="1" applyFill="1" applyBorder="1"/>
    <xf numFmtId="0" fontId="12" fillId="3" borderId="5" xfId="0" applyFont="1" applyFill="1" applyBorder="1"/>
    <xf numFmtId="164" fontId="19" fillId="6" borderId="28" xfId="0" applyNumberFormat="1" applyFont="1" applyFill="1" applyBorder="1"/>
    <xf numFmtId="2" fontId="55" fillId="0" borderId="26" xfId="0" applyNumberFormat="1" applyFont="1" applyBorder="1" applyAlignment="1">
      <alignment horizontal="left"/>
    </xf>
    <xf numFmtId="2" fontId="55" fillId="0" borderId="24" xfId="0" applyNumberFormat="1" applyFont="1" applyBorder="1" applyAlignment="1">
      <alignment horizontal="left"/>
    </xf>
    <xf numFmtId="0" fontId="56" fillId="0" borderId="24" xfId="0" applyFont="1" applyBorder="1" applyAlignment="1">
      <alignment horizontal="left"/>
    </xf>
    <xf numFmtId="0" fontId="56" fillId="0" borderId="25" xfId="0" applyFont="1" applyBorder="1" applyAlignment="1">
      <alignment horizontal="left"/>
    </xf>
    <xf numFmtId="0" fontId="36" fillId="2" borderId="14" xfId="0" applyFont="1" applyFill="1" applyBorder="1" applyAlignment="1">
      <alignment horizontal="center" textRotation="90"/>
    </xf>
    <xf numFmtId="0" fontId="36" fillId="2" borderId="0" xfId="0" applyFont="1" applyFill="1" applyBorder="1" applyAlignment="1">
      <alignment horizontal="center" textRotation="90"/>
    </xf>
    <xf numFmtId="0" fontId="36" fillId="2" borderId="11" xfId="0" applyFont="1" applyFill="1" applyBorder="1" applyAlignment="1">
      <alignment horizontal="center" textRotation="90"/>
    </xf>
    <xf numFmtId="0" fontId="36" fillId="2" borderId="32" xfId="0" applyFont="1" applyFill="1" applyBorder="1" applyAlignment="1">
      <alignment horizontal="center" textRotation="90"/>
    </xf>
    <xf numFmtId="0" fontId="36" fillId="2" borderId="9" xfId="0" applyFont="1" applyFill="1" applyBorder="1" applyAlignment="1">
      <alignment horizontal="center" textRotation="90"/>
    </xf>
    <xf numFmtId="0" fontId="36" fillId="2" borderId="34" xfId="0" applyFont="1" applyFill="1" applyBorder="1" applyAlignment="1">
      <alignment horizontal="center" textRotation="90"/>
    </xf>
    <xf numFmtId="0" fontId="36" fillId="2" borderId="30" xfId="0" applyFont="1" applyFill="1" applyBorder="1" applyAlignment="1">
      <alignment horizontal="center" textRotation="90"/>
    </xf>
    <xf numFmtId="0" fontId="36" fillId="2" borderId="31" xfId="0" applyFont="1" applyFill="1" applyBorder="1" applyAlignment="1">
      <alignment horizontal="center" textRotation="90"/>
    </xf>
    <xf numFmtId="0" fontId="36" fillId="2" borderId="33" xfId="0" applyFont="1" applyFill="1" applyBorder="1" applyAlignment="1">
      <alignment horizontal="center" textRotation="90"/>
    </xf>
    <xf numFmtId="0" fontId="36" fillId="2" borderId="46" xfId="0" applyFont="1" applyFill="1" applyBorder="1" applyAlignment="1">
      <alignment horizontal="center" textRotation="90"/>
    </xf>
    <xf numFmtId="0" fontId="36" fillId="2" borderId="48" xfId="0" applyFont="1" applyFill="1" applyBorder="1" applyAlignment="1">
      <alignment horizontal="center" textRotation="90"/>
    </xf>
    <xf numFmtId="0" fontId="36" fillId="2" borderId="49" xfId="0" applyFont="1" applyFill="1" applyBorder="1" applyAlignment="1">
      <alignment horizontal="center" textRotation="90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1" fillId="0" borderId="0" xfId="0" applyFont="1" applyAlignment="1">
      <alignment horizontal="right"/>
    </xf>
    <xf numFmtId="0" fontId="41" fillId="0" borderId="9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/>
    <xf numFmtId="0" fontId="2" fillId="0" borderId="33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7" fillId="0" borderId="12" xfId="0" applyNumberFormat="1" applyFont="1" applyBorder="1" applyAlignment="1"/>
    <xf numFmtId="0" fontId="0" fillId="0" borderId="6" xfId="0" applyBorder="1" applyAlignment="1"/>
    <xf numFmtId="0" fontId="7" fillId="2" borderId="46" xfId="0" applyFont="1" applyFill="1" applyBorder="1" applyAlignment="1">
      <alignment horizontal="center" textRotation="90"/>
    </xf>
    <xf numFmtId="0" fontId="7" fillId="2" borderId="48" xfId="0" applyFont="1" applyFill="1" applyBorder="1" applyAlignment="1">
      <alignment horizontal="center" textRotation="90"/>
    </xf>
    <xf numFmtId="0" fontId="7" fillId="2" borderId="49" xfId="0" applyFont="1" applyFill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2" fontId="10" fillId="0" borderId="12" xfId="0" applyNumberFormat="1" applyFont="1" applyBorder="1" applyAlignment="1"/>
    <xf numFmtId="2" fontId="10" fillId="0" borderId="8" xfId="0" applyNumberFormat="1" applyFont="1" applyBorder="1" applyAlignment="1"/>
    <xf numFmtId="2" fontId="10" fillId="0" borderId="6" xfId="0" applyNumberFormat="1" applyFont="1" applyBorder="1" applyAlignment="1"/>
    <xf numFmtId="0" fontId="36" fillId="2" borderId="64" xfId="0" applyFont="1" applyFill="1" applyBorder="1" applyAlignment="1">
      <alignment horizontal="center" textRotation="90"/>
    </xf>
    <xf numFmtId="0" fontId="36" fillId="2" borderId="54" xfId="0" applyFont="1" applyFill="1" applyBorder="1" applyAlignment="1">
      <alignment horizontal="center" textRotation="90"/>
    </xf>
    <xf numFmtId="0" fontId="36" fillId="2" borderId="55" xfId="0" applyFont="1" applyFill="1" applyBorder="1" applyAlignment="1">
      <alignment horizontal="center" textRotation="90"/>
    </xf>
    <xf numFmtId="14" fontId="39" fillId="2" borderId="32" xfId="0" applyNumberFormat="1" applyFont="1" applyFill="1" applyBorder="1" applyAlignment="1">
      <alignment horizontal="center" textRotation="90"/>
    </xf>
    <xf numFmtId="0" fontId="30" fillId="2" borderId="9" xfId="0" applyFont="1" applyFill="1" applyBorder="1" applyAlignment="1">
      <alignment horizontal="center" textRotation="90"/>
    </xf>
    <xf numFmtId="0" fontId="30" fillId="2" borderId="34" xfId="0" applyFont="1" applyFill="1" applyBorder="1" applyAlignment="1">
      <alignment horizontal="center" textRotation="90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0" fontId="44" fillId="0" borderId="0" xfId="0" applyFont="1" applyBorder="1" applyAlignment="1"/>
    <xf numFmtId="0" fontId="43" fillId="0" borderId="0" xfId="0" applyFont="1" applyAlignment="1"/>
    <xf numFmtId="0" fontId="41" fillId="0" borderId="0" xfId="0" applyFont="1" applyAlignment="1"/>
    <xf numFmtId="0" fontId="41" fillId="0" borderId="9" xfId="0" applyFont="1" applyBorder="1" applyAlignment="1"/>
    <xf numFmtId="0" fontId="35" fillId="0" borderId="32" xfId="0" applyFont="1" applyBorder="1" applyAlignment="1">
      <alignment horizontal="center" textRotation="90"/>
    </xf>
    <xf numFmtId="0" fontId="35" fillId="0" borderId="31" xfId="0" applyFont="1" applyBorder="1" applyAlignment="1">
      <alignment horizontal="center" textRotation="90"/>
    </xf>
    <xf numFmtId="0" fontId="35" fillId="0" borderId="9" xfId="0" applyFont="1" applyBorder="1" applyAlignment="1">
      <alignment horizontal="center" textRotation="90"/>
    </xf>
    <xf numFmtId="0" fontId="35" fillId="0" borderId="33" xfId="0" applyFont="1" applyBorder="1" applyAlignment="1">
      <alignment horizontal="center" textRotation="90"/>
    </xf>
    <xf numFmtId="0" fontId="35" fillId="0" borderId="34" xfId="0" applyFont="1" applyBorder="1" applyAlignment="1">
      <alignment horizontal="center" textRotation="90"/>
    </xf>
    <xf numFmtId="0" fontId="7" fillId="2" borderId="64" xfId="0" applyFont="1" applyFill="1" applyBorder="1" applyAlignment="1">
      <alignment horizontal="center" textRotation="90"/>
    </xf>
    <xf numFmtId="0" fontId="7" fillId="2" borderId="54" xfId="0" applyFont="1" applyFill="1" applyBorder="1" applyAlignment="1">
      <alignment horizontal="center" textRotation="90"/>
    </xf>
    <xf numFmtId="0" fontId="7" fillId="2" borderId="55" xfId="0" applyFont="1" applyFill="1" applyBorder="1" applyAlignment="1">
      <alignment horizontal="center" textRotation="9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1" fillId="0" borderId="0" xfId="0" applyFont="1" applyBorder="1" applyAlignment="1"/>
    <xf numFmtId="0" fontId="7" fillId="2" borderId="30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4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/>
    <xf numFmtId="0" fontId="0" fillId="0" borderId="0" xfId="0" applyBorder="1" applyAlignment="1"/>
    <xf numFmtId="0" fontId="19" fillId="0" borderId="8" xfId="0" applyFont="1" applyBorder="1" applyAlignment="1"/>
    <xf numFmtId="0" fontId="0" fillId="0" borderId="8" xfId="0" applyBorder="1" applyAlignment="1"/>
    <xf numFmtId="2" fontId="7" fillId="0" borderId="8" xfId="0" applyNumberFormat="1" applyFont="1" applyBorder="1" applyAlignment="1"/>
    <xf numFmtId="2" fontId="19" fillId="0" borderId="26" xfId="0" applyNumberFormat="1" applyFont="1" applyBorder="1" applyAlignment="1"/>
    <xf numFmtId="2" fontId="19" fillId="0" borderId="24" xfId="0" applyNumberFormat="1" applyFont="1" applyBorder="1" applyAlignment="1"/>
    <xf numFmtId="2" fontId="19" fillId="0" borderId="27" xfId="0" applyNumberFormat="1" applyFont="1" applyBorder="1" applyAlignment="1"/>
    <xf numFmtId="0" fontId="2" fillId="0" borderId="12" xfId="0" applyFont="1" applyBorder="1" applyAlignment="1">
      <alignment horizontal="center"/>
    </xf>
    <xf numFmtId="0" fontId="35" fillId="0" borderId="14" xfId="0" applyFont="1" applyBorder="1" applyAlignment="1">
      <alignment horizontal="center" textRotation="90"/>
    </xf>
    <xf numFmtId="0" fontId="35" fillId="0" borderId="0" xfId="0" applyFont="1" applyBorder="1" applyAlignment="1">
      <alignment horizontal="center" textRotation="90"/>
    </xf>
    <xf numFmtId="0" fontId="35" fillId="0" borderId="11" xfId="0" applyFont="1" applyBorder="1" applyAlignment="1">
      <alignment horizontal="center" textRotation="90"/>
    </xf>
    <xf numFmtId="0" fontId="36" fillId="2" borderId="62" xfId="0" applyFont="1" applyFill="1" applyBorder="1" applyAlignment="1">
      <alignment horizontal="center" textRotation="90"/>
    </xf>
    <xf numFmtId="0" fontId="36" fillId="2" borderId="42" xfId="0" applyFont="1" applyFill="1" applyBorder="1" applyAlignment="1">
      <alignment horizontal="center" textRotation="90"/>
    </xf>
    <xf numFmtId="0" fontId="36" fillId="2" borderId="43" xfId="0" applyFont="1" applyFill="1" applyBorder="1" applyAlignment="1">
      <alignment horizontal="center" textRotation="90"/>
    </xf>
    <xf numFmtId="0" fontId="36" fillId="2" borderId="46" xfId="0" applyNumberFormat="1" applyFont="1" applyFill="1" applyBorder="1" applyAlignment="1">
      <alignment horizontal="center" textRotation="90"/>
    </xf>
    <xf numFmtId="0" fontId="35" fillId="0" borderId="48" xfId="0" applyNumberFormat="1" applyFont="1" applyBorder="1" applyAlignment="1">
      <alignment horizontal="center" textRotation="90"/>
    </xf>
    <xf numFmtId="0" fontId="35" fillId="0" borderId="49" xfId="0" applyNumberFormat="1" applyFont="1" applyBorder="1" applyAlignment="1">
      <alignment horizontal="center" textRotation="90"/>
    </xf>
    <xf numFmtId="0" fontId="35" fillId="2" borderId="46" xfId="0" applyFont="1" applyFill="1" applyBorder="1" applyAlignment="1">
      <alignment horizontal="center" textRotation="90"/>
    </xf>
    <xf numFmtId="0" fontId="0" fillId="0" borderId="48" xfId="0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0" fontId="35" fillId="0" borderId="10" xfId="0" applyFont="1" applyBorder="1" applyAlignment="1">
      <alignment horizontal="center" textRotation="90"/>
    </xf>
    <xf numFmtId="0" fontId="35" fillId="0" borderId="1" xfId="0" applyFont="1" applyBorder="1" applyAlignment="1">
      <alignment horizontal="center" textRotation="90"/>
    </xf>
    <xf numFmtId="0" fontId="35" fillId="0" borderId="2" xfId="0" applyFont="1" applyBorder="1" applyAlignment="1">
      <alignment horizontal="center" textRotation="90"/>
    </xf>
    <xf numFmtId="0" fontId="36" fillId="2" borderId="7" xfId="0" applyFont="1" applyFill="1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52" fillId="0" borderId="0" xfId="0" applyFont="1" applyAlignment="1"/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textRotation="90"/>
    </xf>
    <xf numFmtId="0" fontId="36" fillId="2" borderId="10" xfId="0" applyFont="1" applyFill="1" applyBorder="1" applyAlignment="1">
      <alignment horizontal="center" textRotation="90"/>
    </xf>
    <xf numFmtId="0" fontId="36" fillId="2" borderId="1" xfId="0" applyFont="1" applyFill="1" applyBorder="1" applyAlignment="1">
      <alignment horizontal="center" textRotation="90"/>
    </xf>
    <xf numFmtId="0" fontId="36" fillId="2" borderId="2" xfId="0" applyFont="1" applyFill="1" applyBorder="1" applyAlignment="1">
      <alignment horizontal="center" textRotation="90"/>
    </xf>
    <xf numFmtId="0" fontId="35" fillId="2" borderId="32" xfId="0" applyFont="1" applyFill="1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36" fillId="2" borderId="4" xfId="0" applyFont="1" applyFill="1" applyBorder="1" applyAlignment="1">
      <alignment horizontal="center" textRotation="90"/>
    </xf>
    <xf numFmtId="0" fontId="36" fillId="2" borderId="3" xfId="0" applyFont="1" applyFill="1" applyBorder="1" applyAlignment="1">
      <alignment horizontal="center" textRotation="90"/>
    </xf>
    <xf numFmtId="0" fontId="36" fillId="2" borderId="15" xfId="0" applyFont="1" applyFill="1" applyBorder="1" applyAlignment="1">
      <alignment horizontal="center" textRotation="90"/>
    </xf>
    <xf numFmtId="0" fontId="36" fillId="2" borderId="13" xfId="0" applyFont="1" applyFill="1" applyBorder="1" applyAlignment="1">
      <alignment horizontal="center" textRotation="90"/>
    </xf>
    <xf numFmtId="0" fontId="36" fillId="2" borderId="16" xfId="0" applyFont="1" applyFill="1" applyBorder="1" applyAlignment="1">
      <alignment horizontal="center" textRotation="90"/>
    </xf>
    <xf numFmtId="0" fontId="7" fillId="2" borderId="14" xfId="0" applyFont="1" applyFill="1" applyBorder="1" applyAlignment="1">
      <alignment horizontal="center" textRotation="90"/>
    </xf>
    <xf numFmtId="0" fontId="0" fillId="0" borderId="32" xfId="0" applyBorder="1" applyAlignment="1">
      <alignment horizontal="center" textRotation="90"/>
    </xf>
    <xf numFmtId="0" fontId="7" fillId="2" borderId="0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0" fontId="0" fillId="0" borderId="9" xfId="0" applyBorder="1" applyAlignment="1">
      <alignment horizontal="right"/>
    </xf>
    <xf numFmtId="0" fontId="7" fillId="2" borderId="32" xfId="0" applyFont="1" applyFill="1" applyBorder="1" applyAlignment="1">
      <alignment horizontal="center" textRotation="90"/>
    </xf>
    <xf numFmtId="0" fontId="7" fillId="2" borderId="9" xfId="0" applyFont="1" applyFill="1" applyBorder="1" applyAlignment="1">
      <alignment horizontal="center" textRotation="90"/>
    </xf>
    <xf numFmtId="0" fontId="7" fillId="2" borderId="34" xfId="0" applyFont="1" applyFill="1" applyBorder="1" applyAlignment="1">
      <alignment horizontal="center" textRotation="90"/>
    </xf>
    <xf numFmtId="0" fontId="7" fillId="2" borderId="31" xfId="0" applyFont="1" applyFill="1" applyBorder="1" applyAlignment="1">
      <alignment horizontal="center" textRotation="90"/>
    </xf>
    <xf numFmtId="0" fontId="7" fillId="2" borderId="33" xfId="0" applyFont="1" applyFill="1" applyBorder="1" applyAlignment="1">
      <alignment horizontal="center" textRotation="90"/>
    </xf>
    <xf numFmtId="0" fontId="7" fillId="2" borderId="15" xfId="0" applyFont="1" applyFill="1" applyBorder="1" applyAlignment="1">
      <alignment horizontal="center" textRotation="90"/>
    </xf>
    <xf numFmtId="0" fontId="7" fillId="2" borderId="13" xfId="0" applyFont="1" applyFill="1" applyBorder="1" applyAlignment="1">
      <alignment horizontal="center" textRotation="90"/>
    </xf>
    <xf numFmtId="0" fontId="7" fillId="2" borderId="16" xfId="0" applyFont="1" applyFill="1" applyBorder="1" applyAlignment="1">
      <alignment horizontal="center" textRotation="90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2" fontId="7" fillId="0" borderId="26" xfId="0" applyNumberFormat="1" applyFont="1" applyBorder="1" applyAlignment="1"/>
    <xf numFmtId="2" fontId="7" fillId="0" borderId="24" xfId="0" applyNumberFormat="1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8" xfId="0" applyFont="1" applyBorder="1" applyAlignment="1"/>
    <xf numFmtId="0" fontId="0" fillId="0" borderId="6" xfId="0" applyFont="1" applyBorder="1" applyAlignment="1"/>
    <xf numFmtId="0" fontId="11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textRotation="90"/>
    </xf>
    <xf numFmtId="0" fontId="35" fillId="0" borderId="49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38" fillId="2" borderId="32" xfId="0" applyFont="1" applyFill="1" applyBorder="1" applyAlignment="1">
      <alignment horizontal="center" textRotation="90"/>
    </xf>
    <xf numFmtId="0" fontId="38" fillId="2" borderId="9" xfId="0" applyFont="1" applyFill="1" applyBorder="1" applyAlignment="1">
      <alignment horizontal="center" textRotation="90"/>
    </xf>
    <xf numFmtId="0" fontId="38" fillId="2" borderId="34" xfId="0" applyFont="1" applyFill="1" applyBorder="1" applyAlignment="1">
      <alignment horizontal="center" textRotation="90"/>
    </xf>
    <xf numFmtId="0" fontId="0" fillId="0" borderId="31" xfId="0" applyBorder="1" applyAlignment="1">
      <alignment horizontal="center" textRotation="90"/>
    </xf>
    <xf numFmtId="0" fontId="0" fillId="0" borderId="33" xfId="0" applyBorder="1" applyAlignment="1">
      <alignment horizontal="center" textRotation="90"/>
    </xf>
    <xf numFmtId="0" fontId="38" fillId="2" borderId="46" xfId="0" applyFont="1" applyFill="1" applyBorder="1" applyAlignment="1">
      <alignment horizontal="center" textRotation="90"/>
    </xf>
    <xf numFmtId="0" fontId="38" fillId="2" borderId="48" xfId="0" applyFont="1" applyFill="1" applyBorder="1" applyAlignment="1">
      <alignment horizontal="center" textRotation="90"/>
    </xf>
    <xf numFmtId="0" fontId="38" fillId="2" borderId="49" xfId="0" applyFont="1" applyFill="1" applyBorder="1" applyAlignment="1">
      <alignment horizontal="center" textRotation="90"/>
    </xf>
    <xf numFmtId="0" fontId="32" fillId="0" borderId="42" xfId="0" applyFont="1" applyBorder="1" applyAlignment="1">
      <alignment horizontal="center" textRotation="90"/>
    </xf>
    <xf numFmtId="0" fontId="35" fillId="0" borderId="42" xfId="0" applyFont="1" applyBorder="1" applyAlignment="1">
      <alignment horizontal="center" textRotation="90"/>
    </xf>
    <xf numFmtId="0" fontId="35" fillId="0" borderId="43" xfId="0" applyFont="1" applyBorder="1" applyAlignment="1">
      <alignment horizontal="center" textRotation="90"/>
    </xf>
    <xf numFmtId="0" fontId="3" fillId="2" borderId="46" xfId="0" applyFont="1" applyFill="1" applyBorder="1" applyAlignment="1">
      <alignment horizontal="center" textRotation="90"/>
    </xf>
    <xf numFmtId="0" fontId="3" fillId="2" borderId="48" xfId="0" applyFont="1" applyFill="1" applyBorder="1" applyAlignment="1">
      <alignment horizontal="center" textRotation="90"/>
    </xf>
    <xf numFmtId="0" fontId="3" fillId="2" borderId="49" xfId="0" applyFont="1" applyFill="1" applyBorder="1" applyAlignment="1">
      <alignment horizontal="center" textRotation="90"/>
    </xf>
    <xf numFmtId="0" fontId="4" fillId="0" borderId="64" xfId="0" applyFont="1" applyBorder="1" applyAlignment="1">
      <alignment horizontal="center" textRotation="90"/>
    </xf>
    <xf numFmtId="0" fontId="4" fillId="0" borderId="54" xfId="0" applyFont="1" applyBorder="1" applyAlignment="1">
      <alignment horizontal="center" textRotation="90"/>
    </xf>
    <xf numFmtId="0" fontId="4" fillId="0" borderId="55" xfId="0" applyFont="1" applyBorder="1" applyAlignment="1">
      <alignment horizontal="center" textRotation="90"/>
    </xf>
    <xf numFmtId="0" fontId="0" fillId="0" borderId="49" xfId="0" applyBorder="1" applyAlignment="1">
      <alignment horizontal="center" textRotation="90"/>
    </xf>
    <xf numFmtId="0" fontId="30" fillId="2" borderId="62" xfId="0" applyFont="1" applyFill="1" applyBorder="1" applyAlignment="1">
      <alignment horizontal="center" textRotation="90"/>
    </xf>
    <xf numFmtId="0" fontId="30" fillId="2" borderId="42" xfId="0" applyFont="1" applyFill="1" applyBorder="1" applyAlignment="1">
      <alignment horizontal="center" textRotation="90"/>
    </xf>
    <xf numFmtId="0" fontId="30" fillId="2" borderId="43" xfId="0" applyFont="1" applyFill="1" applyBorder="1" applyAlignment="1">
      <alignment horizontal="center" textRotation="90"/>
    </xf>
    <xf numFmtId="0" fontId="2" fillId="0" borderId="24" xfId="0" applyFont="1" applyBorder="1" applyAlignment="1">
      <alignment horizontal="center" vertical="center"/>
    </xf>
    <xf numFmtId="2" fontId="19" fillId="0" borderId="12" xfId="0" applyNumberFormat="1" applyFont="1" applyBorder="1" applyAlignment="1"/>
    <xf numFmtId="0" fontId="2" fillId="0" borderId="6" xfId="0" applyFont="1" applyBorder="1" applyAlignment="1">
      <alignment horizontal="center" vertical="center"/>
    </xf>
    <xf numFmtId="0" fontId="42" fillId="0" borderId="0" xfId="0" applyFont="1" applyBorder="1" applyAlignment="1"/>
    <xf numFmtId="0" fontId="35" fillId="0" borderId="0" xfId="0" applyFont="1" applyAlignment="1">
      <alignment horizontal="center" textRotation="90"/>
    </xf>
    <xf numFmtId="0" fontId="0" fillId="0" borderId="27" xfId="0" applyBorder="1" applyAlignment="1"/>
    <xf numFmtId="0" fontId="39" fillId="2" borderId="32" xfId="0" applyFont="1" applyFill="1" applyBorder="1" applyAlignment="1">
      <alignment horizontal="center" textRotation="90"/>
    </xf>
    <xf numFmtId="0" fontId="39" fillId="2" borderId="9" xfId="0" applyFont="1" applyFill="1" applyBorder="1" applyAlignment="1">
      <alignment horizontal="center" textRotation="90"/>
    </xf>
    <xf numFmtId="0" fontId="39" fillId="2" borderId="34" xfId="0" applyFont="1" applyFill="1" applyBorder="1" applyAlignment="1">
      <alignment horizontal="center" textRotation="90"/>
    </xf>
    <xf numFmtId="0" fontId="7" fillId="2" borderId="62" xfId="0" applyFont="1" applyFill="1" applyBorder="1" applyAlignment="1">
      <alignment horizontal="center" textRotation="90"/>
    </xf>
    <xf numFmtId="0" fontId="7" fillId="2" borderId="42" xfId="0" applyFont="1" applyFill="1" applyBorder="1" applyAlignment="1">
      <alignment horizontal="center" textRotation="90"/>
    </xf>
    <xf numFmtId="0" fontId="7" fillId="2" borderId="43" xfId="0" applyFont="1" applyFill="1" applyBorder="1" applyAlignment="1">
      <alignment horizontal="center" textRotation="90"/>
    </xf>
    <xf numFmtId="14" fontId="39" fillId="2" borderId="62" xfId="0" applyNumberFormat="1" applyFont="1" applyFill="1" applyBorder="1" applyAlignment="1">
      <alignment horizontal="center" textRotation="90"/>
    </xf>
    <xf numFmtId="0" fontId="39" fillId="2" borderId="42" xfId="0" applyFont="1" applyFill="1" applyBorder="1" applyAlignment="1">
      <alignment horizontal="center" textRotation="90"/>
    </xf>
    <xf numFmtId="0" fontId="39" fillId="2" borderId="43" xfId="0" applyFont="1" applyFill="1" applyBorder="1" applyAlignment="1">
      <alignment horizontal="center" textRotation="90"/>
    </xf>
    <xf numFmtId="0" fontId="36" fillId="0" borderId="7" xfId="0" applyFont="1" applyBorder="1" applyAlignment="1">
      <alignment horizontal="center" textRotation="90"/>
    </xf>
    <xf numFmtId="0" fontId="35" fillId="0" borderId="4" xfId="0" applyFont="1" applyBorder="1" applyAlignment="1">
      <alignment horizontal="center" textRotation="90"/>
    </xf>
    <xf numFmtId="0" fontId="35" fillId="0" borderId="3" xfId="0" applyFont="1" applyBorder="1" applyAlignment="1">
      <alignment horizontal="center" textRotation="90"/>
    </xf>
    <xf numFmtId="0" fontId="35" fillId="2" borderId="48" xfId="0" applyFont="1" applyFill="1" applyBorder="1" applyAlignment="1">
      <alignment horizontal="center" textRotation="90"/>
    </xf>
    <xf numFmtId="0" fontId="35" fillId="2" borderId="49" xfId="0" applyFont="1" applyFill="1" applyBorder="1" applyAlignment="1">
      <alignment horizontal="center" textRotation="90"/>
    </xf>
    <xf numFmtId="0" fontId="35" fillId="2" borderId="9" xfId="0" applyFont="1" applyFill="1" applyBorder="1" applyAlignment="1">
      <alignment horizontal="center" textRotation="90"/>
    </xf>
    <xf numFmtId="0" fontId="35" fillId="2" borderId="34" xfId="0" applyFont="1" applyFill="1" applyBorder="1" applyAlignment="1">
      <alignment horizontal="center" textRotation="90"/>
    </xf>
    <xf numFmtId="0" fontId="3" fillId="2" borderId="30" xfId="0" applyFont="1" applyFill="1" applyBorder="1" applyAlignment="1">
      <alignment horizontal="center" textRotation="90"/>
    </xf>
    <xf numFmtId="0" fontId="3" fillId="2" borderId="31" xfId="0" applyFont="1" applyFill="1" applyBorder="1" applyAlignment="1">
      <alignment horizontal="center" textRotation="90"/>
    </xf>
    <xf numFmtId="0" fontId="3" fillId="2" borderId="33" xfId="0" applyFont="1" applyFill="1" applyBorder="1" applyAlignment="1">
      <alignment horizontal="center" textRotation="90"/>
    </xf>
    <xf numFmtId="2" fontId="19" fillId="0" borderId="15" xfId="0" applyNumberFormat="1" applyFont="1" applyBorder="1" applyAlignment="1"/>
    <xf numFmtId="0" fontId="0" fillId="0" borderId="10" xfId="0" applyBorder="1" applyAlignment="1"/>
    <xf numFmtId="49" fontId="2" fillId="0" borderId="60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 textRotation="90"/>
    </xf>
    <xf numFmtId="0" fontId="4" fillId="0" borderId="48" xfId="0" applyFont="1" applyBorder="1" applyAlignment="1">
      <alignment horizontal="center" textRotation="90"/>
    </xf>
    <xf numFmtId="0" fontId="4" fillId="0" borderId="49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5" fillId="0" borderId="46" xfId="0" applyFont="1" applyBorder="1" applyAlignment="1">
      <alignment horizontal="center" textRotation="90"/>
    </xf>
    <xf numFmtId="0" fontId="36" fillId="2" borderId="32" xfId="0" applyNumberFormat="1" applyFont="1" applyFill="1" applyBorder="1" applyAlignment="1">
      <alignment horizontal="center" textRotation="90"/>
    </xf>
    <xf numFmtId="0" fontId="36" fillId="2" borderId="9" xfId="0" applyNumberFormat="1" applyFont="1" applyFill="1" applyBorder="1" applyAlignment="1">
      <alignment horizontal="center" textRotation="90"/>
    </xf>
    <xf numFmtId="0" fontId="36" fillId="2" borderId="34" xfId="0" applyNumberFormat="1" applyFont="1" applyFill="1" applyBorder="1" applyAlignment="1">
      <alignment horizontal="center" textRotation="90"/>
    </xf>
    <xf numFmtId="0" fontId="35" fillId="0" borderId="64" xfId="0" applyFont="1" applyBorder="1" applyAlignment="1">
      <alignment horizontal="center" textRotation="90"/>
    </xf>
    <xf numFmtId="0" fontId="35" fillId="0" borderId="54" xfId="0" applyFont="1" applyBorder="1" applyAlignment="1">
      <alignment horizontal="center" textRotation="90"/>
    </xf>
    <xf numFmtId="0" fontId="35" fillId="0" borderId="55" xfId="0" applyFont="1" applyBorder="1" applyAlignment="1">
      <alignment horizontal="center" textRotation="90"/>
    </xf>
    <xf numFmtId="0" fontId="35" fillId="0" borderId="15" xfId="0" applyFont="1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8" fillId="2" borderId="64" xfId="0" applyFont="1" applyFill="1" applyBorder="1" applyAlignment="1">
      <alignment horizontal="center" textRotation="90"/>
    </xf>
    <xf numFmtId="0" fontId="38" fillId="2" borderId="54" xfId="0" applyFont="1" applyFill="1" applyBorder="1" applyAlignment="1">
      <alignment horizontal="center" textRotation="90"/>
    </xf>
    <xf numFmtId="0" fontId="38" fillId="2" borderId="55" xfId="0" applyFont="1" applyFill="1" applyBorder="1" applyAlignment="1">
      <alignment horizontal="center" textRotation="90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4" fontId="30" fillId="2" borderId="32" xfId="0" applyNumberFormat="1" applyFont="1" applyFill="1" applyBorder="1" applyAlignment="1">
      <alignment horizontal="center" textRotation="90"/>
    </xf>
    <xf numFmtId="0" fontId="30" fillId="2" borderId="32" xfId="0" applyFont="1" applyFill="1" applyBorder="1" applyAlignment="1">
      <alignment horizontal="center" textRotation="90"/>
    </xf>
    <xf numFmtId="0" fontId="30" fillId="2" borderId="14" xfId="0" applyFont="1" applyFill="1" applyBorder="1" applyAlignment="1">
      <alignment horizontal="center" textRotation="90"/>
    </xf>
    <xf numFmtId="0" fontId="30" fillId="2" borderId="0" xfId="0" applyFont="1" applyFill="1" applyBorder="1" applyAlignment="1">
      <alignment horizontal="center" textRotation="90"/>
    </xf>
    <xf numFmtId="0" fontId="30" fillId="2" borderId="11" xfId="0" applyFont="1" applyFill="1" applyBorder="1" applyAlignment="1">
      <alignment horizontal="center" textRotation="90"/>
    </xf>
    <xf numFmtId="2" fontId="7" fillId="0" borderId="6" xfId="0" applyNumberFormat="1" applyFont="1" applyBorder="1" applyAlignment="1"/>
    <xf numFmtId="0" fontId="19" fillId="0" borderId="6" xfId="0" applyFont="1" applyBorder="1" applyAlignment="1"/>
    <xf numFmtId="14" fontId="30" fillId="2" borderId="62" xfId="0" applyNumberFormat="1" applyFont="1" applyFill="1" applyBorder="1" applyAlignment="1">
      <alignment horizontal="center" textRotation="90"/>
    </xf>
    <xf numFmtId="14" fontId="30" fillId="2" borderId="42" xfId="0" applyNumberFormat="1" applyFont="1" applyFill="1" applyBorder="1" applyAlignment="1">
      <alignment horizontal="center" textRotation="90"/>
    </xf>
    <xf numFmtId="14" fontId="30" fillId="2" borderId="43" xfId="0" applyNumberFormat="1" applyFont="1" applyFill="1" applyBorder="1" applyAlignment="1">
      <alignment horizontal="center" textRotation="90"/>
    </xf>
    <xf numFmtId="0" fontId="30" fillId="2" borderId="46" xfId="0" applyFont="1" applyFill="1" applyBorder="1" applyAlignment="1">
      <alignment horizontal="center" textRotation="90"/>
    </xf>
    <xf numFmtId="0" fontId="30" fillId="2" borderId="48" xfId="0" applyFont="1" applyFill="1" applyBorder="1" applyAlignment="1">
      <alignment horizontal="center" textRotation="90"/>
    </xf>
    <xf numFmtId="0" fontId="30" fillId="2" borderId="49" xfId="0" applyFont="1" applyFill="1" applyBorder="1" applyAlignment="1">
      <alignment horizontal="center" textRotation="90"/>
    </xf>
    <xf numFmtId="0" fontId="51" fillId="0" borderId="13" xfId="0" applyFont="1" applyBorder="1" applyAlignment="1"/>
    <xf numFmtId="0" fontId="52" fillId="0" borderId="13" xfId="0" applyFont="1" applyBorder="1" applyAlignment="1"/>
    <xf numFmtId="0" fontId="44" fillId="0" borderId="13" xfId="0" applyFont="1" applyBorder="1" applyAlignment="1"/>
    <xf numFmtId="0" fontId="4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F198"/>
  <sheetViews>
    <sheetView showGridLines="0" topLeftCell="A2" zoomScale="90" zoomScaleNormal="90" workbookViewId="0">
      <selection activeCell="K188" sqref="K188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5.28515625" customWidth="1"/>
    <col min="5" max="5" width="8" customWidth="1"/>
    <col min="6" max="6" width="5.140625" customWidth="1"/>
    <col min="7" max="7" width="8" customWidth="1"/>
    <col min="8" max="8" width="5.5703125" customWidth="1"/>
    <col min="9" max="9" width="7.7109375" customWidth="1"/>
    <col min="10" max="10" width="4.28515625" customWidth="1"/>
    <col min="11" max="11" width="6.5703125" customWidth="1"/>
    <col min="12" max="13" width="7.140625" customWidth="1"/>
    <col min="14" max="14" width="7.28515625" customWidth="1"/>
    <col min="15" max="15" width="8.28515625" customWidth="1"/>
    <col min="16" max="16" width="0.140625" customWidth="1"/>
    <col min="17" max="17" width="7.42578125" customWidth="1"/>
    <col min="18" max="18" width="8.28515625" customWidth="1"/>
    <col min="19" max="19" width="8" customWidth="1"/>
    <col min="20" max="20" width="6.85546875" customWidth="1"/>
    <col min="21" max="21" width="7" customWidth="1"/>
    <col min="22" max="22" width="6.140625" customWidth="1"/>
    <col min="23" max="23" width="7.85546875" customWidth="1"/>
    <col min="24" max="24" width="6.5703125" customWidth="1"/>
    <col min="25" max="25" width="7.5703125" customWidth="1"/>
    <col min="26" max="26" width="10.85546875" customWidth="1"/>
    <col min="27" max="27" width="1.42578125" customWidth="1"/>
  </cols>
  <sheetData>
    <row r="1" spans="1:32" ht="12.75" hidden="1" customHeight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7"/>
      <c r="W1" s="10"/>
      <c r="X1" s="10"/>
      <c r="Y1" s="11"/>
      <c r="Z1" s="11"/>
      <c r="AA1" s="7"/>
      <c r="AB1" s="7"/>
      <c r="AC1" s="7"/>
      <c r="AD1" s="7"/>
      <c r="AE1" s="7"/>
      <c r="AF1" s="7"/>
    </row>
    <row r="2" spans="1:32" ht="15" customHeight="1">
      <c r="A2" s="3" t="s">
        <v>310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7"/>
      <c r="W2" s="10"/>
      <c r="X2" s="10"/>
      <c r="Y2" s="11"/>
      <c r="Z2" s="11"/>
      <c r="AA2" s="7"/>
      <c r="AB2" s="7"/>
      <c r="AC2" s="7"/>
      <c r="AD2" s="7"/>
      <c r="AE2" s="7"/>
      <c r="AF2" s="7"/>
    </row>
    <row r="3" spans="1:32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1060" t="s">
        <v>80</v>
      </c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15"/>
      <c r="AB3" s="115"/>
      <c r="AC3" s="7"/>
      <c r="AD3" s="7"/>
      <c r="AE3" s="7"/>
      <c r="AF3" s="7"/>
    </row>
    <row r="4" spans="1:32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AA4" s="7"/>
      <c r="AB4" s="7"/>
      <c r="AC4" s="7"/>
      <c r="AD4" s="7"/>
      <c r="AE4" s="7"/>
      <c r="AF4" s="7"/>
    </row>
    <row r="5" spans="1:32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2"/>
      <c r="O5" s="3"/>
      <c r="P5" s="2"/>
      <c r="Q5" s="2"/>
      <c r="R5" s="2"/>
      <c r="S5" s="2"/>
      <c r="T5" s="1"/>
      <c r="U5" s="7"/>
      <c r="V5" s="7"/>
      <c r="W5" s="7"/>
      <c r="X5" s="7"/>
      <c r="AA5" s="7"/>
      <c r="AB5" s="7"/>
      <c r="AC5" s="7"/>
      <c r="AD5" s="7"/>
      <c r="AE5" s="7"/>
      <c r="AF5" s="7"/>
    </row>
    <row r="6" spans="1:32" ht="15.75" customHeight="1" thickBot="1">
      <c r="A6" s="1048" t="s">
        <v>42</v>
      </c>
      <c r="B6" s="1048"/>
      <c r="C6" s="1048"/>
      <c r="D6" s="729"/>
      <c r="E6" s="1047" t="s">
        <v>35</v>
      </c>
      <c r="F6" s="1048"/>
      <c r="G6" s="1049"/>
      <c r="H6" s="1047" t="s">
        <v>60</v>
      </c>
      <c r="I6" s="1048"/>
      <c r="J6" s="1049"/>
      <c r="K6" s="1047" t="s">
        <v>58</v>
      </c>
      <c r="L6" s="1048"/>
      <c r="M6" s="1048"/>
      <c r="N6" s="1049"/>
      <c r="O6" s="31"/>
      <c r="P6" s="21"/>
      <c r="Q6" s="31"/>
      <c r="R6" s="21"/>
      <c r="S6" s="3"/>
      <c r="T6" s="7"/>
      <c r="U6" s="7"/>
      <c r="V6" s="7"/>
      <c r="W6" s="7"/>
      <c r="X6" s="7"/>
      <c r="Y6" s="7"/>
      <c r="Z6" s="1088" t="s">
        <v>0</v>
      </c>
      <c r="AA6" s="1089"/>
      <c r="AB6" s="7"/>
      <c r="AC6" s="7"/>
      <c r="AD6" s="7"/>
      <c r="AE6" s="7"/>
      <c r="AF6" s="7"/>
    </row>
    <row r="7" spans="1:32" ht="11.25" customHeight="1">
      <c r="A7" s="1059" t="s">
        <v>43</v>
      </c>
      <c r="B7" s="1059"/>
      <c r="C7" s="1059"/>
      <c r="D7" s="726"/>
      <c r="E7" s="1065" t="s">
        <v>34</v>
      </c>
      <c r="F7" s="1066"/>
      <c r="G7" s="1067"/>
      <c r="H7" s="1065" t="s">
        <v>12</v>
      </c>
      <c r="I7" s="1066"/>
      <c r="J7" s="1067"/>
      <c r="K7" s="1065" t="s">
        <v>15</v>
      </c>
      <c r="L7" s="1066"/>
      <c r="M7" s="1066"/>
      <c r="N7" s="1067"/>
      <c r="O7" s="1065" t="s">
        <v>14</v>
      </c>
      <c r="P7" s="1067"/>
      <c r="Q7" s="1065" t="s">
        <v>55</v>
      </c>
      <c r="R7" s="1067"/>
      <c r="S7" s="1092" t="s">
        <v>220</v>
      </c>
      <c r="T7" s="1093"/>
      <c r="U7" s="1093"/>
      <c r="V7" s="1093"/>
      <c r="W7" s="1093"/>
      <c r="X7" s="1094" t="s">
        <v>190</v>
      </c>
      <c r="Y7" s="1095"/>
      <c r="Z7" s="1090" t="s">
        <v>23</v>
      </c>
      <c r="AA7" s="1091"/>
      <c r="AB7" s="7"/>
      <c r="AC7" s="7"/>
      <c r="AD7" s="7"/>
      <c r="AE7" s="7"/>
      <c r="AF7" s="7"/>
    </row>
    <row r="8" spans="1:32" ht="10.5" customHeight="1" thickBot="1">
      <c r="A8" s="730" t="s">
        <v>44</v>
      </c>
      <c r="B8" s="1047" t="s">
        <v>46</v>
      </c>
      <c r="C8" s="1048"/>
      <c r="D8" s="726"/>
      <c r="E8" s="1065" t="s">
        <v>39</v>
      </c>
      <c r="F8" s="1066"/>
      <c r="G8" s="1067"/>
      <c r="H8" s="1065" t="s">
        <v>49</v>
      </c>
      <c r="I8" s="1066"/>
      <c r="J8" s="1067"/>
      <c r="K8" s="1065" t="s">
        <v>59</v>
      </c>
      <c r="L8" s="1066"/>
      <c r="M8" s="1066"/>
      <c r="N8" s="1067"/>
      <c r="O8" s="1065" t="s">
        <v>40</v>
      </c>
      <c r="P8" s="1067"/>
      <c r="Q8" s="1065" t="s">
        <v>56</v>
      </c>
      <c r="R8" s="1067"/>
      <c r="S8" s="1093"/>
      <c r="T8" s="1093"/>
      <c r="U8" s="1093"/>
      <c r="V8" s="1093"/>
      <c r="W8" s="1093"/>
      <c r="Z8" s="53"/>
      <c r="AA8" s="56"/>
      <c r="AB8" s="7"/>
      <c r="AC8" s="7"/>
      <c r="AD8" s="7"/>
      <c r="AE8" s="7"/>
      <c r="AF8" s="7"/>
    </row>
    <row r="9" spans="1:32" ht="15.75" customHeight="1" thickBot="1">
      <c r="A9" s="727" t="s">
        <v>45</v>
      </c>
      <c r="B9" s="1065" t="s">
        <v>47</v>
      </c>
      <c r="C9" s="1066"/>
      <c r="D9" s="725"/>
      <c r="E9" s="1065" t="s">
        <v>38</v>
      </c>
      <c r="F9" s="1066"/>
      <c r="G9" s="1067"/>
      <c r="H9" s="1065" t="s">
        <v>13</v>
      </c>
      <c r="I9" s="1066"/>
      <c r="J9" s="1067"/>
      <c r="K9" s="1065" t="s">
        <v>38</v>
      </c>
      <c r="L9" s="1066"/>
      <c r="M9" s="1066"/>
      <c r="N9" s="1067"/>
      <c r="O9" s="25"/>
      <c r="P9" s="3"/>
      <c r="Q9" s="1065" t="s">
        <v>57</v>
      </c>
      <c r="R9" s="1067"/>
      <c r="S9" s="3" t="s">
        <v>194</v>
      </c>
      <c r="T9" s="548"/>
      <c r="U9" s="548"/>
      <c r="V9" s="120"/>
      <c r="W9" s="120"/>
      <c r="X9" s="120"/>
      <c r="Y9" s="700" t="s">
        <v>191</v>
      </c>
      <c r="Z9" s="701"/>
      <c r="AA9" s="708"/>
      <c r="AB9" s="120"/>
      <c r="AC9" s="7"/>
      <c r="AD9" s="7"/>
      <c r="AE9" s="7"/>
      <c r="AF9" s="7"/>
    </row>
    <row r="10" spans="1:32" ht="6.75" customHeight="1">
      <c r="A10" s="17"/>
      <c r="B10" s="1058" t="s">
        <v>48</v>
      </c>
      <c r="C10" s="1059"/>
      <c r="D10" s="726"/>
      <c r="E10" s="723"/>
      <c r="F10" s="3"/>
      <c r="G10" s="30"/>
      <c r="H10" s="3"/>
      <c r="I10" s="3"/>
      <c r="J10" s="30"/>
      <c r="K10" s="1058"/>
      <c r="L10" s="1059"/>
      <c r="M10" s="1059"/>
      <c r="N10" s="1073"/>
      <c r="O10" s="25"/>
      <c r="P10" s="3"/>
      <c r="Q10" s="25"/>
      <c r="R10" s="17"/>
      <c r="T10" s="709" t="s">
        <v>96</v>
      </c>
      <c r="Y10" s="32"/>
      <c r="Z10" s="702"/>
      <c r="AA10" s="703"/>
    </row>
    <row r="11" spans="1:32" ht="11.25" customHeight="1" thickBot="1">
      <c r="A11" s="58">
        <v>1</v>
      </c>
      <c r="B11" s="62"/>
      <c r="C11" s="63">
        <v>2</v>
      </c>
      <c r="D11" s="292"/>
      <c r="E11" s="731"/>
      <c r="F11" s="731">
        <v>3</v>
      </c>
      <c r="G11" s="733"/>
      <c r="H11" s="731"/>
      <c r="I11" s="731">
        <v>4</v>
      </c>
      <c r="J11" s="733"/>
      <c r="K11" s="731"/>
      <c r="L11" s="731"/>
      <c r="M11" s="731"/>
      <c r="N11" s="731">
        <v>5</v>
      </c>
      <c r="O11" s="732"/>
      <c r="P11" s="731"/>
      <c r="Q11" s="1104">
        <v>7</v>
      </c>
      <c r="R11" s="1105"/>
      <c r="S11" s="1074" t="s">
        <v>307</v>
      </c>
      <c r="T11" s="1061"/>
      <c r="U11" s="1061"/>
      <c r="V11" s="1061"/>
      <c r="W11" s="1061"/>
      <c r="X11" s="1061"/>
      <c r="Y11" s="699" t="s">
        <v>199</v>
      </c>
      <c r="Z11" s="705"/>
      <c r="AA11" s="704"/>
      <c r="AB11" s="7"/>
      <c r="AC11" s="7"/>
      <c r="AD11" s="7"/>
      <c r="AE11" s="7"/>
      <c r="AF11" s="7"/>
    </row>
    <row r="12" spans="1:32" ht="6" customHeight="1">
      <c r="A12" s="37"/>
      <c r="B12" s="38"/>
      <c r="C12" s="38"/>
      <c r="D12" s="38"/>
      <c r="E12" s="38"/>
      <c r="F12" s="38"/>
      <c r="G12" s="39"/>
      <c r="H12" s="38"/>
      <c r="I12" s="38"/>
      <c r="J12" s="39"/>
      <c r="K12" s="38"/>
      <c r="L12" s="38"/>
      <c r="M12" s="38"/>
      <c r="N12" s="38"/>
      <c r="O12" s="40"/>
      <c r="P12" s="39"/>
      <c r="Q12" s="41"/>
      <c r="R12" s="42"/>
      <c r="S12" s="1061"/>
      <c r="T12" s="1061"/>
      <c r="U12" s="1061"/>
      <c r="V12" s="1061"/>
      <c r="W12" s="1061"/>
      <c r="X12" s="1061"/>
      <c r="Y12" s="56"/>
      <c r="Z12" s="32"/>
      <c r="AA12" s="610"/>
      <c r="AB12" s="7"/>
      <c r="AC12" s="7"/>
      <c r="AD12" s="7"/>
      <c r="AE12" s="7"/>
      <c r="AF12" s="7"/>
    </row>
    <row r="13" spans="1:32" ht="18" customHeight="1" thickBot="1">
      <c r="A13" s="780" t="s">
        <v>202</v>
      </c>
      <c r="B13" s="28"/>
      <c r="C13" s="28"/>
      <c r="D13" s="28"/>
      <c r="E13" s="28"/>
      <c r="F13" s="28"/>
      <c r="G13" s="218">
        <v>110</v>
      </c>
      <c r="H13" s="28"/>
      <c r="I13" s="140">
        <f>B25</f>
        <v>100</v>
      </c>
      <c r="J13" s="50"/>
      <c r="K13" s="1075">
        <f>G13*I13</f>
        <v>11000</v>
      </c>
      <c r="L13" s="1076"/>
      <c r="M13" s="1076"/>
      <c r="N13" s="1077"/>
      <c r="O13" s="1068">
        <f>Z95/B25</f>
        <v>123.993044</v>
      </c>
      <c r="P13" s="1069"/>
      <c r="Q13" s="815"/>
      <c r="R13" s="816"/>
      <c r="S13" s="3"/>
      <c r="T13" s="710" t="s">
        <v>308</v>
      </c>
      <c r="U13" s="2"/>
      <c r="V13" s="538"/>
      <c r="W13" s="7"/>
      <c r="X13" s="7"/>
      <c r="Y13" s="699"/>
      <c r="Z13" s="7"/>
      <c r="AA13" s="704"/>
      <c r="AB13" s="7"/>
      <c r="AC13" s="7"/>
      <c r="AD13" s="7"/>
      <c r="AE13" s="7"/>
      <c r="AF13" s="7"/>
    </row>
    <row r="14" spans="1:32" ht="6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49"/>
      <c r="K14" s="28"/>
      <c r="L14" s="28"/>
      <c r="M14" s="28"/>
      <c r="N14" s="28"/>
      <c r="O14" s="817"/>
      <c r="P14" s="818"/>
      <c r="Q14" s="815"/>
      <c r="R14" s="816"/>
      <c r="S14" s="3"/>
      <c r="T14" s="7"/>
      <c r="U14" s="7"/>
      <c r="X14" s="32"/>
      <c r="Y14" s="56"/>
      <c r="Z14" s="41"/>
      <c r="AA14" s="707"/>
      <c r="AB14" s="7"/>
      <c r="AC14" s="7"/>
      <c r="AD14" s="7"/>
      <c r="AE14" s="7"/>
      <c r="AF14" s="7"/>
    </row>
    <row r="15" spans="1:32" ht="17.25" customHeight="1" thickBot="1">
      <c r="A15" s="769"/>
      <c r="B15" s="38"/>
      <c r="C15" s="38"/>
      <c r="D15" s="38"/>
      <c r="E15" s="38"/>
      <c r="F15" s="38"/>
      <c r="G15" s="38"/>
      <c r="H15" s="38"/>
      <c r="I15" s="3" t="s">
        <v>33</v>
      </c>
      <c r="J15" s="42"/>
      <c r="K15" s="45"/>
      <c r="L15" s="45"/>
      <c r="M15" s="45"/>
      <c r="N15" s="45"/>
      <c r="O15" s="1031">
        <f>O13*B25</f>
        <v>12399.304399999999</v>
      </c>
      <c r="P15" s="1032"/>
      <c r="Q15" s="1033"/>
      <c r="R15" s="1034"/>
      <c r="S15" s="3" t="s">
        <v>193</v>
      </c>
      <c r="T15" s="7"/>
      <c r="U15" s="7"/>
      <c r="V15" s="549"/>
      <c r="W15" s="711" t="s">
        <v>309</v>
      </c>
      <c r="Y15" s="56"/>
      <c r="Z15" s="66"/>
      <c r="AA15" s="704"/>
      <c r="AB15" s="7"/>
      <c r="AC15" s="7"/>
      <c r="AD15" s="7"/>
      <c r="AE15" s="7"/>
      <c r="AF15" s="7"/>
    </row>
    <row r="16" spans="1:3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770"/>
      <c r="L16" s="770"/>
      <c r="M16" s="770"/>
      <c r="N16" s="770"/>
      <c r="O16" s="770"/>
      <c r="P16" s="770"/>
      <c r="Q16" s="492"/>
      <c r="R16" s="770"/>
      <c r="S16" s="3"/>
      <c r="T16" s="7"/>
      <c r="U16" s="7"/>
      <c r="Y16" s="32"/>
      <c r="Z16" s="32"/>
      <c r="AB16" s="7"/>
      <c r="AC16" s="7"/>
      <c r="AD16" s="7"/>
      <c r="AE16" s="7"/>
      <c r="AF16" s="7"/>
    </row>
    <row r="17" spans="1:32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7"/>
    </row>
    <row r="18" spans="1:32" ht="12" customHeight="1">
      <c r="A18" s="26" t="s">
        <v>53</v>
      </c>
      <c r="B18" s="20"/>
      <c r="C18" s="65"/>
      <c r="D18" s="48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8" t="s">
        <v>41</v>
      </c>
      <c r="P18" s="14"/>
      <c r="Q18" s="14"/>
      <c r="R18" s="14"/>
      <c r="S18" s="28"/>
      <c r="T18" s="28"/>
      <c r="U18" s="14"/>
      <c r="V18" s="14"/>
      <c r="W18" s="14"/>
      <c r="X18" s="14"/>
      <c r="Y18" s="1047" t="s">
        <v>8</v>
      </c>
      <c r="Z18" s="1048"/>
      <c r="AA18" s="7"/>
      <c r="AB18" s="7"/>
      <c r="AC18" s="7"/>
      <c r="AD18" s="7"/>
      <c r="AE18" s="7"/>
      <c r="AF18" s="7"/>
    </row>
    <row r="19" spans="1:32" ht="12" customHeight="1">
      <c r="A19" s="168"/>
      <c r="B19" s="19"/>
      <c r="C19" s="70" t="s">
        <v>52</v>
      </c>
      <c r="D19" s="447"/>
      <c r="E19" s="1052" t="s">
        <v>108</v>
      </c>
      <c r="F19" s="1084"/>
      <c r="G19" s="1084"/>
      <c r="H19" s="1084"/>
      <c r="I19" s="1084"/>
      <c r="J19" s="1084"/>
      <c r="K19" s="1085"/>
      <c r="L19" s="853" t="s">
        <v>69</v>
      </c>
      <c r="M19" s="621"/>
      <c r="N19" s="1056" t="s">
        <v>16</v>
      </c>
      <c r="O19" s="1052"/>
      <c r="P19" s="1052"/>
      <c r="Q19" s="1052"/>
      <c r="R19" s="1052"/>
      <c r="S19" s="1052"/>
      <c r="T19" s="1087"/>
      <c r="U19" s="1052" t="s">
        <v>17</v>
      </c>
      <c r="V19" s="1052"/>
      <c r="W19" s="1052"/>
      <c r="X19" s="1052"/>
      <c r="Y19" s="1062" t="s">
        <v>3</v>
      </c>
      <c r="Z19" s="1059"/>
      <c r="AA19" s="7"/>
      <c r="AB19" s="7"/>
      <c r="AC19" s="7"/>
      <c r="AD19" s="7"/>
      <c r="AE19" s="7"/>
      <c r="AF19" s="7"/>
    </row>
    <row r="20" spans="1:32" ht="6.75" customHeight="1">
      <c r="A20" s="167"/>
      <c r="B20" s="5"/>
      <c r="C20" s="70" t="s">
        <v>51</v>
      </c>
      <c r="D20" s="447"/>
      <c r="E20" s="1054"/>
      <c r="F20" s="1054"/>
      <c r="G20" s="1054"/>
      <c r="H20" s="1054"/>
      <c r="I20" s="1054"/>
      <c r="J20" s="1054"/>
      <c r="K20" s="1086"/>
      <c r="L20" s="854"/>
      <c r="M20" s="622"/>
      <c r="N20" s="1057"/>
      <c r="O20" s="1054"/>
      <c r="P20" s="1054"/>
      <c r="Q20" s="1054"/>
      <c r="R20" s="1054"/>
      <c r="S20" s="1054"/>
      <c r="T20" s="1086"/>
      <c r="U20" s="1054"/>
      <c r="V20" s="1054"/>
      <c r="W20" s="1054"/>
      <c r="X20" s="1054"/>
      <c r="Y20" s="1063" t="s">
        <v>36</v>
      </c>
      <c r="Z20" s="1064"/>
      <c r="AA20" s="8"/>
      <c r="AB20" s="7"/>
      <c r="AC20" s="7"/>
      <c r="AD20" s="7"/>
      <c r="AE20" s="7"/>
      <c r="AF20" s="7"/>
    </row>
    <row r="21" spans="1:32" ht="10.5" customHeight="1">
      <c r="A21" s="167" t="s">
        <v>54</v>
      </c>
      <c r="B21" s="5"/>
      <c r="C21" s="70" t="s">
        <v>9</v>
      </c>
      <c r="D21" s="1101" t="s">
        <v>206</v>
      </c>
      <c r="E21" s="1081" t="s">
        <v>297</v>
      </c>
      <c r="F21" s="1035" t="s">
        <v>147</v>
      </c>
      <c r="G21" s="1038"/>
      <c r="H21" s="1041" t="s">
        <v>83</v>
      </c>
      <c r="I21" s="1038"/>
      <c r="J21" s="1041" t="s">
        <v>62</v>
      </c>
      <c r="K21" s="1038"/>
      <c r="L21" s="1041" t="s">
        <v>131</v>
      </c>
      <c r="M21" s="1044" t="s">
        <v>207</v>
      </c>
      <c r="N21" s="1044" t="s">
        <v>92</v>
      </c>
      <c r="O21" s="1044" t="s">
        <v>208</v>
      </c>
      <c r="P21" s="1038"/>
      <c r="Q21" s="1038" t="s">
        <v>209</v>
      </c>
      <c r="R21" s="1044" t="s">
        <v>210</v>
      </c>
      <c r="S21" s="1041" t="s">
        <v>115</v>
      </c>
      <c r="T21" s="1044" t="s">
        <v>68</v>
      </c>
      <c r="U21" s="1035" t="s">
        <v>86</v>
      </c>
      <c r="V21" s="1041" t="s">
        <v>211</v>
      </c>
      <c r="W21" s="1044" t="s">
        <v>212</v>
      </c>
      <c r="X21" s="1107" t="s">
        <v>70</v>
      </c>
      <c r="Y21" s="852"/>
      <c r="Z21" s="23"/>
      <c r="AA21" s="7"/>
      <c r="AB21" s="7"/>
      <c r="AC21" s="7"/>
      <c r="AD21" s="7"/>
      <c r="AE21" s="7"/>
      <c r="AF21" s="7"/>
    </row>
    <row r="22" spans="1:32" ht="10.5" customHeight="1">
      <c r="A22" s="167"/>
      <c r="B22" s="5"/>
      <c r="C22" s="70" t="s">
        <v>10</v>
      </c>
      <c r="D22" s="1102"/>
      <c r="E22" s="1082"/>
      <c r="F22" s="1036"/>
      <c r="G22" s="1039"/>
      <c r="H22" s="1042"/>
      <c r="I22" s="1039"/>
      <c r="J22" s="1042"/>
      <c r="K22" s="1039"/>
      <c r="L22" s="1042"/>
      <c r="M22" s="1045"/>
      <c r="N22" s="1045"/>
      <c r="O22" s="1045"/>
      <c r="P22" s="1039"/>
      <c r="Q22" s="1039"/>
      <c r="R22" s="1045"/>
      <c r="S22" s="1042"/>
      <c r="T22" s="1045"/>
      <c r="U22" s="1036"/>
      <c r="V22" s="1042"/>
      <c r="W22" s="1045"/>
      <c r="X22" s="1071"/>
      <c r="Y22" s="19" t="s">
        <v>6</v>
      </c>
      <c r="Z22" s="166" t="s">
        <v>4</v>
      </c>
      <c r="AA22" s="7"/>
      <c r="AB22" s="7"/>
      <c r="AC22" s="7"/>
      <c r="AD22" s="7"/>
      <c r="AE22" s="7"/>
      <c r="AF22" s="7"/>
    </row>
    <row r="23" spans="1:32" ht="93.75" customHeight="1">
      <c r="A23" s="169"/>
      <c r="B23" s="4"/>
      <c r="C23" s="71"/>
      <c r="D23" s="1103"/>
      <c r="E23" s="1083"/>
      <c r="F23" s="1037"/>
      <c r="G23" s="1040"/>
      <c r="H23" s="1043"/>
      <c r="I23" s="1040"/>
      <c r="J23" s="1043"/>
      <c r="K23" s="1040"/>
      <c r="L23" s="1043"/>
      <c r="M23" s="1046"/>
      <c r="N23" s="1046"/>
      <c r="O23" s="1046"/>
      <c r="P23" s="1040"/>
      <c r="Q23" s="1040"/>
      <c r="R23" s="1046"/>
      <c r="S23" s="1043"/>
      <c r="T23" s="1046"/>
      <c r="U23" s="1037"/>
      <c r="V23" s="1043"/>
      <c r="W23" s="1046"/>
      <c r="X23" s="1072"/>
      <c r="Y23" s="4" t="s">
        <v>7</v>
      </c>
      <c r="Z23" s="165" t="s">
        <v>5</v>
      </c>
      <c r="AA23" s="7"/>
      <c r="AB23" s="7"/>
      <c r="AC23" s="7"/>
      <c r="AD23" s="7"/>
      <c r="AE23" s="7"/>
      <c r="AF23" s="7"/>
    </row>
    <row r="24" spans="1:32" ht="11.25" customHeight="1">
      <c r="A24" s="64">
        <v>1</v>
      </c>
      <c r="B24" s="34">
        <v>2</v>
      </c>
      <c r="C24" s="72">
        <v>3</v>
      </c>
      <c r="D24" s="86">
        <v>4</v>
      </c>
      <c r="E24" s="80">
        <v>5</v>
      </c>
      <c r="F24" s="86">
        <v>6</v>
      </c>
      <c r="G24" s="76">
        <v>7</v>
      </c>
      <c r="H24" s="87">
        <v>8</v>
      </c>
      <c r="I24" s="80">
        <v>9</v>
      </c>
      <c r="J24" s="82">
        <v>10</v>
      </c>
      <c r="K24" s="95">
        <v>11</v>
      </c>
      <c r="L24" s="96">
        <v>12</v>
      </c>
      <c r="M24" s="81">
        <v>13</v>
      </c>
      <c r="N24" s="81">
        <v>14</v>
      </c>
      <c r="O24" s="81">
        <v>15</v>
      </c>
      <c r="P24" s="80">
        <v>16</v>
      </c>
      <c r="Q24" s="97">
        <v>17</v>
      </c>
      <c r="R24" s="93">
        <v>18</v>
      </c>
      <c r="S24" s="96">
        <v>19</v>
      </c>
      <c r="T24" s="98">
        <v>20</v>
      </c>
      <c r="U24" s="80">
        <v>21</v>
      </c>
      <c r="V24" s="96">
        <v>22</v>
      </c>
      <c r="W24" s="81">
        <v>23</v>
      </c>
      <c r="X24" s="96">
        <v>24</v>
      </c>
      <c r="Y24" s="35">
        <v>25</v>
      </c>
      <c r="Z24" s="36">
        <v>26</v>
      </c>
      <c r="AA24" s="7"/>
      <c r="AB24" s="7"/>
      <c r="AC24" s="7"/>
      <c r="AD24" s="7"/>
      <c r="AE24" s="7"/>
      <c r="AF24" s="7"/>
    </row>
    <row r="25" spans="1:32" ht="15.95" customHeight="1">
      <c r="A25" s="16" t="s">
        <v>18</v>
      </c>
      <c r="B25" s="221">
        <v>100</v>
      </c>
      <c r="C25" s="73"/>
      <c r="D25" s="785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109"/>
      <c r="K25" s="99">
        <f>B25</f>
        <v>100</v>
      </c>
      <c r="L25" s="99">
        <f>B25</f>
        <v>100</v>
      </c>
      <c r="M25" s="99">
        <f>B25</f>
        <v>100</v>
      </c>
      <c r="N25" s="160">
        <f>B25</f>
        <v>100</v>
      </c>
      <c r="O25" s="471">
        <f>B25</f>
        <v>100</v>
      </c>
      <c r="P25" s="99"/>
      <c r="Q25" s="109">
        <f>F25</f>
        <v>100</v>
      </c>
      <c r="R25" s="99">
        <f>B25</f>
        <v>100</v>
      </c>
      <c r="S25" s="99">
        <f>B25</f>
        <v>100</v>
      </c>
      <c r="T25" s="99">
        <f>B25</f>
        <v>100</v>
      </c>
      <c r="U25" s="99">
        <f>B25</f>
        <v>100</v>
      </c>
      <c r="V25" s="99">
        <f>B25</f>
        <v>100</v>
      </c>
      <c r="W25" s="99">
        <f>B25</f>
        <v>100</v>
      </c>
      <c r="X25" s="99">
        <f>B25</f>
        <v>100</v>
      </c>
      <c r="Y25" s="12" t="s">
        <v>66</v>
      </c>
      <c r="Z25" s="68" t="s">
        <v>64</v>
      </c>
      <c r="AA25" s="7"/>
      <c r="AB25" s="7"/>
      <c r="AC25" s="7"/>
      <c r="AD25" s="7"/>
      <c r="AE25" s="7"/>
    </row>
    <row r="26" spans="1:32" ht="15.95" customHeight="1" thickBot="1">
      <c r="A26" s="59" t="s">
        <v>19</v>
      </c>
      <c r="B26" s="60"/>
      <c r="C26" s="74"/>
      <c r="D26" s="304">
        <v>35</v>
      </c>
      <c r="E26" s="301">
        <f>D26*F25/B25</f>
        <v>35</v>
      </c>
      <c r="F26" s="91">
        <v>150</v>
      </c>
      <c r="G26" s="119">
        <f>F26*F25/B25</f>
        <v>150</v>
      </c>
      <c r="H26" s="91">
        <v>180</v>
      </c>
      <c r="I26" s="119">
        <f>H26*H25/B25</f>
        <v>180</v>
      </c>
      <c r="J26" s="110"/>
      <c r="K26" s="119">
        <f>K70/B25*1000</f>
        <v>20</v>
      </c>
      <c r="L26" s="119">
        <f>L47</f>
        <v>100</v>
      </c>
      <c r="M26" s="119">
        <v>200</v>
      </c>
      <c r="N26" s="119">
        <f>N36/B25*1000</f>
        <v>10</v>
      </c>
      <c r="O26" s="643">
        <v>130</v>
      </c>
      <c r="P26" s="119"/>
      <c r="Q26" s="111">
        <v>100</v>
      </c>
      <c r="R26" s="119">
        <f>Q26*Q25/B25</f>
        <v>100</v>
      </c>
      <c r="S26" s="100">
        <v>180</v>
      </c>
      <c r="T26" s="119">
        <f>T72/B25*1000</f>
        <v>40</v>
      </c>
      <c r="U26" s="100">
        <v>50</v>
      </c>
      <c r="V26" s="119">
        <v>80</v>
      </c>
      <c r="W26" s="119">
        <v>180</v>
      </c>
      <c r="X26" s="119">
        <f>X74/B25*1000</f>
        <v>20</v>
      </c>
      <c r="Y26" s="61"/>
      <c r="Z26" s="69"/>
      <c r="AA26" s="7"/>
      <c r="AB26" s="7"/>
      <c r="AC26" s="7"/>
      <c r="AD26" s="7"/>
      <c r="AE26" s="7"/>
    </row>
    <row r="27" spans="1:32" ht="15" customHeight="1" thickTop="1">
      <c r="A27" s="133"/>
      <c r="B27" s="5" t="s">
        <v>65</v>
      </c>
      <c r="C27" s="77" t="s">
        <v>72</v>
      </c>
      <c r="D27" s="287"/>
      <c r="E27" s="88"/>
      <c r="F27" s="92"/>
      <c r="G27" s="88"/>
      <c r="H27" s="107"/>
      <c r="I27" s="88"/>
      <c r="J27" s="108"/>
      <c r="K27" s="88"/>
      <c r="L27" s="88"/>
      <c r="M27" s="88"/>
      <c r="N27" s="88"/>
      <c r="O27" s="566"/>
      <c r="P27" s="129"/>
      <c r="Q27" s="177">
        <f>88.3/100*Q26</f>
        <v>88.3</v>
      </c>
      <c r="R27" s="129">
        <f>Q27/Q26*R26</f>
        <v>88.3</v>
      </c>
      <c r="S27" s="88"/>
      <c r="T27" s="88"/>
      <c r="U27" s="88"/>
      <c r="V27" s="88"/>
      <c r="W27" s="88"/>
      <c r="X27" s="88"/>
      <c r="Y27" s="78"/>
      <c r="Z27" s="79"/>
      <c r="AA27" s="7"/>
      <c r="AB27" s="7"/>
      <c r="AC27" s="7"/>
      <c r="AD27" s="7"/>
      <c r="AE27" s="7"/>
    </row>
    <row r="28" spans="1:32" ht="15.75" customHeight="1" thickBot="1">
      <c r="A28" s="346" t="s">
        <v>213</v>
      </c>
      <c r="B28" s="347">
        <v>470.6</v>
      </c>
      <c r="C28" s="348" t="s">
        <v>73</v>
      </c>
      <c r="D28" s="385"/>
      <c r="E28" s="386"/>
      <c r="F28" s="363"/>
      <c r="G28" s="350"/>
      <c r="H28" s="349"/>
      <c r="I28" s="350"/>
      <c r="J28" s="349"/>
      <c r="K28" s="350"/>
      <c r="L28" s="350"/>
      <c r="M28" s="350"/>
      <c r="N28" s="350"/>
      <c r="O28" s="569"/>
      <c r="P28" s="341"/>
      <c r="Q28" s="349">
        <f>Q27*Q25/1000</f>
        <v>8.83</v>
      </c>
      <c r="R28" s="341">
        <f>Q28</f>
        <v>8.83</v>
      </c>
      <c r="S28" s="350"/>
      <c r="T28" s="350"/>
      <c r="U28" s="350"/>
      <c r="V28" s="350"/>
      <c r="W28" s="350"/>
      <c r="X28" s="350"/>
      <c r="Y28" s="343">
        <f>ROUND(E28+G28+I28+K28+L28+M28+N28+P28+R28+S28+T28+U28+V28+W28+X28,2)</f>
        <v>8.83</v>
      </c>
      <c r="Z28" s="368">
        <f>Y28*B28</f>
        <v>4155.3980000000001</v>
      </c>
      <c r="AA28" s="7"/>
      <c r="AB28" s="223">
        <f>Y28+Y127</f>
        <v>15.879999999999999</v>
      </c>
      <c r="AC28" s="7" t="str">
        <f>A28</f>
        <v>Мясо гов.</v>
      </c>
      <c r="AD28" s="7"/>
      <c r="AE28" s="7"/>
    </row>
    <row r="29" spans="1:32" ht="15" customHeight="1" thickTop="1">
      <c r="A29" s="133"/>
      <c r="B29" s="121"/>
      <c r="C29" s="77" t="s">
        <v>72</v>
      </c>
      <c r="D29" s="306">
        <v>5</v>
      </c>
      <c r="E29" s="129">
        <f>D29/D26*E26</f>
        <v>5</v>
      </c>
      <c r="F29" s="90">
        <v>3</v>
      </c>
      <c r="G29" s="129">
        <f>F29/F26*G26</f>
        <v>3</v>
      </c>
      <c r="H29" s="108"/>
      <c r="I29" s="88"/>
      <c r="J29" s="108"/>
      <c r="K29" s="88"/>
      <c r="L29" s="88"/>
      <c r="M29" s="88"/>
      <c r="N29" s="131"/>
      <c r="O29" s="88">
        <v>4.5999999999999996</v>
      </c>
      <c r="P29" s="131"/>
      <c r="Q29" s="177">
        <f>3/100*Q26</f>
        <v>3</v>
      </c>
      <c r="R29" s="129">
        <f>Q29/Q26*R26</f>
        <v>3</v>
      </c>
      <c r="S29" s="88"/>
      <c r="T29" s="88"/>
      <c r="U29" s="131"/>
      <c r="V29" s="272">
        <v>5.7</v>
      </c>
      <c r="W29" s="88"/>
      <c r="X29" s="88"/>
      <c r="Y29" s="125"/>
      <c r="Z29" s="123"/>
      <c r="AA29" s="7"/>
      <c r="AB29" s="224"/>
      <c r="AC29" s="7"/>
      <c r="AD29" s="7"/>
      <c r="AE29" s="7"/>
      <c r="AF29" s="624"/>
    </row>
    <row r="30" spans="1:32" ht="16.5" customHeight="1" thickBot="1">
      <c r="A30" s="346" t="s">
        <v>79</v>
      </c>
      <c r="B30" s="347">
        <v>595</v>
      </c>
      <c r="C30" s="348" t="s">
        <v>73</v>
      </c>
      <c r="D30" s="490">
        <f>D29*F25/1000</f>
        <v>0.5</v>
      </c>
      <c r="E30" s="341">
        <f>D30</f>
        <v>0.5</v>
      </c>
      <c r="F30" s="363">
        <f>ROUND(F29*F25/1000,2)</f>
        <v>0.3</v>
      </c>
      <c r="G30" s="341">
        <f>F30</f>
        <v>0.3</v>
      </c>
      <c r="H30" s="349"/>
      <c r="I30" s="350"/>
      <c r="J30" s="349"/>
      <c r="K30" s="350"/>
      <c r="L30" s="350"/>
      <c r="M30" s="341">
        <f>ROUND(M29*B25/1000,2)</f>
        <v>0</v>
      </c>
      <c r="N30" s="350"/>
      <c r="O30" s="341">
        <f>ROUND(O29*B25/1000,2)</f>
        <v>0.46</v>
      </c>
      <c r="P30" s="350">
        <f>P29*B25/1000</f>
        <v>0</v>
      </c>
      <c r="Q30" s="349">
        <f>Q29*F25/1000</f>
        <v>0.3</v>
      </c>
      <c r="R30" s="341">
        <f>ROUND(Q30,2)</f>
        <v>0.3</v>
      </c>
      <c r="S30" s="350"/>
      <c r="T30" s="350"/>
      <c r="U30" s="350">
        <f>U29*B25/1000</f>
        <v>0</v>
      </c>
      <c r="V30" s="341">
        <f>V29*B25/1000</f>
        <v>0.56999999999999995</v>
      </c>
      <c r="W30" s="350"/>
      <c r="X30" s="350"/>
      <c r="Y30" s="343">
        <f>ROUND(E30+G30+I30+K30+L30+M30+N30+O30+P30+R30+S30+T30+U30+V30+W30+X30,2)</f>
        <v>2.13</v>
      </c>
      <c r="Z30" s="344">
        <f>Y30*B30</f>
        <v>1267.3499999999999</v>
      </c>
      <c r="AA30" s="7"/>
      <c r="AB30" s="223">
        <f>Y30+Y129</f>
        <v>4.01</v>
      </c>
      <c r="AC30" s="7" t="str">
        <f>A30</f>
        <v>Масло слив.</v>
      </c>
      <c r="AD30" s="7"/>
      <c r="AE30" s="7"/>
      <c r="AF30" s="7"/>
    </row>
    <row r="31" spans="1:32" ht="15" customHeight="1" thickTop="1">
      <c r="A31" s="133"/>
      <c r="B31" s="121"/>
      <c r="C31" s="77" t="s">
        <v>72</v>
      </c>
      <c r="D31" s="287"/>
      <c r="E31" s="88"/>
      <c r="F31" s="90"/>
      <c r="G31" s="88"/>
      <c r="H31" s="108"/>
      <c r="I31" s="88"/>
      <c r="J31" s="108"/>
      <c r="K31" s="88"/>
      <c r="L31" s="88"/>
      <c r="M31" s="88">
        <v>2</v>
      </c>
      <c r="N31" s="131"/>
      <c r="O31" s="280"/>
      <c r="P31" s="131"/>
      <c r="Q31" s="108"/>
      <c r="R31" s="129"/>
      <c r="S31" s="88"/>
      <c r="T31" s="88"/>
      <c r="U31" s="131">
        <v>3</v>
      </c>
      <c r="V31" s="272">
        <v>0.3</v>
      </c>
      <c r="W31" s="88"/>
      <c r="X31" s="88"/>
      <c r="Y31" s="125"/>
      <c r="Z31" s="123"/>
      <c r="AA31" s="7"/>
      <c r="AB31" s="224"/>
      <c r="AC31" s="7"/>
      <c r="AD31" s="7"/>
      <c r="AE31" s="7"/>
      <c r="AF31" s="7"/>
    </row>
    <row r="32" spans="1:32" ht="15.75" customHeight="1" thickBot="1">
      <c r="A32" s="346" t="s">
        <v>78</v>
      </c>
      <c r="B32" s="347">
        <v>104.42</v>
      </c>
      <c r="C32" s="348" t="s">
        <v>73</v>
      </c>
      <c r="D32" s="385"/>
      <c r="E32" s="350"/>
      <c r="F32" s="363"/>
      <c r="G32" s="350"/>
      <c r="H32" s="349"/>
      <c r="I32" s="350"/>
      <c r="J32" s="349"/>
      <c r="K32" s="350"/>
      <c r="L32" s="350"/>
      <c r="M32" s="341">
        <f>ROUND(M31*B25/1000,2)</f>
        <v>0.2</v>
      </c>
      <c r="N32" s="341"/>
      <c r="O32" s="372"/>
      <c r="P32" s="350">
        <f>P31*B25/1000</f>
        <v>0</v>
      </c>
      <c r="Q32" s="349"/>
      <c r="R32" s="350"/>
      <c r="S32" s="350"/>
      <c r="T32" s="350"/>
      <c r="U32" s="341">
        <f>U31*B25/1000</f>
        <v>0.3</v>
      </c>
      <c r="V32" s="341">
        <f>V31*B25/1000</f>
        <v>0.03</v>
      </c>
      <c r="W32" s="350"/>
      <c r="X32" s="350"/>
      <c r="Y32" s="343">
        <f>ROUND(E32+G32+I32+K32+L32+M32+N32+P32+R32+S32+T32+U32+V32+W32+X32,2)</f>
        <v>0.53</v>
      </c>
      <c r="Z32" s="344">
        <f>Y32*B32</f>
        <v>55.342600000000004</v>
      </c>
      <c r="AA32" s="7"/>
      <c r="AB32" s="223">
        <f>Y32+Y131</f>
        <v>0.91</v>
      </c>
      <c r="AC32" s="7" t="str">
        <f>A32</f>
        <v>Масло раст.</v>
      </c>
      <c r="AD32" s="7"/>
      <c r="AE32" s="7"/>
      <c r="AF32" s="7"/>
    </row>
    <row r="33" spans="1:32" ht="14.25" customHeight="1" thickTop="1">
      <c r="A33" s="133"/>
      <c r="B33" s="121"/>
      <c r="C33" s="77" t="s">
        <v>72</v>
      </c>
      <c r="D33" s="287"/>
      <c r="E33" s="88"/>
      <c r="F33" s="90">
        <v>120</v>
      </c>
      <c r="G33" s="129">
        <f>F33/F26*G26</f>
        <v>120</v>
      </c>
      <c r="H33" s="108">
        <v>92</v>
      </c>
      <c r="I33" s="113">
        <f>H33/H26*I26</f>
        <v>92</v>
      </c>
      <c r="J33" s="108"/>
      <c r="K33" s="88"/>
      <c r="L33" s="88"/>
      <c r="M33" s="88"/>
      <c r="N33" s="88"/>
      <c r="O33" s="280"/>
      <c r="P33" s="88"/>
      <c r="Q33" s="108"/>
      <c r="R33" s="129"/>
      <c r="S33" s="88"/>
      <c r="T33" s="88"/>
      <c r="U33" s="88"/>
      <c r="V33" s="129"/>
      <c r="W33" s="272">
        <v>90</v>
      </c>
      <c r="X33" s="88"/>
      <c r="Y33" s="125"/>
      <c r="Z33" s="123"/>
      <c r="AA33" s="7"/>
      <c r="AB33" s="224"/>
      <c r="AC33" s="7"/>
      <c r="AD33" s="7"/>
      <c r="AE33" s="7"/>
      <c r="AF33" s="7"/>
    </row>
    <row r="34" spans="1:32" ht="15.95" customHeight="1" thickBot="1">
      <c r="A34" s="346" t="s">
        <v>81</v>
      </c>
      <c r="B34" s="347">
        <v>67.8</v>
      </c>
      <c r="C34" s="348" t="s">
        <v>73</v>
      </c>
      <c r="D34" s="385"/>
      <c r="E34" s="350"/>
      <c r="F34" s="363">
        <f>F33*F25/1000</f>
        <v>12</v>
      </c>
      <c r="G34" s="786">
        <f>F34</f>
        <v>12</v>
      </c>
      <c r="H34" s="349">
        <f>H33*H25/1000</f>
        <v>9.1999999999999993</v>
      </c>
      <c r="I34" s="786">
        <f>H34</f>
        <v>9.1999999999999993</v>
      </c>
      <c r="J34" s="349"/>
      <c r="K34" s="350"/>
      <c r="L34" s="350"/>
      <c r="M34" s="350"/>
      <c r="N34" s="350"/>
      <c r="O34" s="420"/>
      <c r="P34" s="378"/>
      <c r="Q34" s="349"/>
      <c r="R34" s="350"/>
      <c r="S34" s="350"/>
      <c r="T34" s="350"/>
      <c r="U34" s="350"/>
      <c r="V34" s="341"/>
      <c r="W34" s="786">
        <f>W33*B25/1000</f>
        <v>9</v>
      </c>
      <c r="X34" s="350"/>
      <c r="Y34" s="813">
        <f>ROUND(E34+G34+I34+K34+L34+M34+N34+P34+R34+S34+T34+U34+V34+W34+X34,3)</f>
        <v>30.2</v>
      </c>
      <c r="Z34" s="344">
        <f>Y34*B34</f>
        <v>2047.56</v>
      </c>
      <c r="AA34" s="7"/>
      <c r="AB34" s="225">
        <f>Y34+Y133</f>
        <v>58.9</v>
      </c>
      <c r="AC34" s="7" t="str">
        <f>A34</f>
        <v>Молоко св.</v>
      </c>
      <c r="AD34" s="7"/>
      <c r="AE34" s="7"/>
      <c r="AF34" s="7"/>
    </row>
    <row r="35" spans="1:32" ht="15" customHeight="1" thickTop="1">
      <c r="A35" s="133"/>
      <c r="B35" s="121"/>
      <c r="C35" s="77" t="s">
        <v>72</v>
      </c>
      <c r="D35" s="306"/>
      <c r="E35" s="129"/>
      <c r="F35" s="90"/>
      <c r="G35" s="88"/>
      <c r="H35" s="108"/>
      <c r="I35" s="88"/>
      <c r="J35" s="108"/>
      <c r="K35" s="88"/>
      <c r="L35" s="88"/>
      <c r="M35" s="88"/>
      <c r="N35" s="113">
        <f>N36/B25*1000</f>
        <v>10</v>
      </c>
      <c r="O35" s="280"/>
      <c r="P35" s="113"/>
      <c r="Q35" s="108"/>
      <c r="R35" s="88"/>
      <c r="S35" s="88"/>
      <c r="T35" s="88"/>
      <c r="U35" s="88"/>
      <c r="V35" s="129"/>
      <c r="W35" s="88"/>
      <c r="X35" s="88"/>
      <c r="Y35" s="125"/>
      <c r="Z35" s="123"/>
      <c r="AA35" s="7"/>
      <c r="AB35" s="224"/>
      <c r="AC35" s="7"/>
      <c r="AD35" s="7"/>
      <c r="AE35" s="7"/>
      <c r="AF35" s="7"/>
    </row>
    <row r="36" spans="1:32" ht="15.95" customHeight="1" thickBot="1">
      <c r="A36" s="346" t="s">
        <v>20</v>
      </c>
      <c r="B36" s="347">
        <v>227</v>
      </c>
      <c r="C36" s="348" t="s">
        <v>73</v>
      </c>
      <c r="D36" s="385"/>
      <c r="E36" s="350"/>
      <c r="F36" s="363"/>
      <c r="G36" s="350"/>
      <c r="H36" s="349"/>
      <c r="I36" s="350"/>
      <c r="J36" s="349"/>
      <c r="K36" s="350"/>
      <c r="L36" s="350"/>
      <c r="M36" s="350"/>
      <c r="N36" s="341">
        <v>1</v>
      </c>
      <c r="O36" s="420"/>
      <c r="P36" s="378"/>
      <c r="Q36" s="349"/>
      <c r="R36" s="350"/>
      <c r="S36" s="350"/>
      <c r="T36" s="350"/>
      <c r="U36" s="350"/>
      <c r="V36" s="341"/>
      <c r="W36" s="350"/>
      <c r="X36" s="350"/>
      <c r="Y36" s="343">
        <f>ROUND(E36+G36+I36+K36+L36+M36+N36+P36+R36+S36+T36+U36+V36+W36+X36,2)</f>
        <v>1</v>
      </c>
      <c r="Z36" s="344">
        <f>Y36*B36</f>
        <v>227</v>
      </c>
      <c r="AA36" s="7"/>
      <c r="AB36" s="225">
        <f>Y36+Y135</f>
        <v>2</v>
      </c>
      <c r="AC36" s="7" t="str">
        <f>A36</f>
        <v>Сметана</v>
      </c>
      <c r="AD36" s="7"/>
      <c r="AE36" s="7"/>
      <c r="AF36" s="7"/>
    </row>
    <row r="37" spans="1:32" ht="15" customHeight="1" thickTop="1">
      <c r="A37" s="133"/>
      <c r="B37" s="121"/>
      <c r="C37" s="77" t="s">
        <v>72</v>
      </c>
      <c r="D37" s="287"/>
      <c r="E37" s="88"/>
      <c r="F37" s="90"/>
      <c r="G37" s="88"/>
      <c r="H37" s="108"/>
      <c r="I37" s="88"/>
      <c r="J37" s="108"/>
      <c r="K37" s="88"/>
      <c r="L37" s="88"/>
      <c r="M37" s="88"/>
      <c r="N37" s="88"/>
      <c r="O37" s="280"/>
      <c r="P37" s="88"/>
      <c r="Q37" s="177"/>
      <c r="R37" s="129"/>
      <c r="S37" s="88"/>
      <c r="T37" s="88"/>
      <c r="U37" s="131"/>
      <c r="V37" s="250">
        <v>1.7</v>
      </c>
      <c r="W37" s="88"/>
      <c r="X37" s="88"/>
      <c r="Y37" s="125"/>
      <c r="Z37" s="123"/>
      <c r="AA37" s="7"/>
      <c r="AB37" s="224"/>
      <c r="AC37" s="7"/>
      <c r="AD37" s="7"/>
      <c r="AE37" s="7"/>
      <c r="AF37" s="7"/>
    </row>
    <row r="38" spans="1:32" ht="16.5" customHeight="1" thickBot="1">
      <c r="A38" s="346" t="s">
        <v>214</v>
      </c>
      <c r="B38" s="347">
        <v>10</v>
      </c>
      <c r="C38" s="348" t="s">
        <v>74</v>
      </c>
      <c r="D38" s="385"/>
      <c r="E38" s="350"/>
      <c r="F38" s="530"/>
      <c r="G38" s="386"/>
      <c r="H38" s="531"/>
      <c r="I38" s="386"/>
      <c r="J38" s="531"/>
      <c r="K38" s="386"/>
      <c r="L38" s="386"/>
      <c r="M38" s="386"/>
      <c r="N38" s="386"/>
      <c r="O38" s="535"/>
      <c r="P38" s="534"/>
      <c r="Q38" s="530"/>
      <c r="R38" s="386"/>
      <c r="S38" s="386"/>
      <c r="T38" s="386"/>
      <c r="U38" s="386"/>
      <c r="V38" s="596">
        <f>ROUND(V37*B25/1000/0.048,0)</f>
        <v>4</v>
      </c>
      <c r="W38" s="350"/>
      <c r="X38" s="350"/>
      <c r="Y38" s="472">
        <f>ROUND(E38+G38+I38+K38+L38+M38+N38+P38+R38+S38+T38+U38+V38+W38+X38,0)</f>
        <v>4</v>
      </c>
      <c r="Z38" s="344">
        <f>Y38*B38</f>
        <v>40</v>
      </c>
      <c r="AA38" s="7"/>
      <c r="AB38" s="475">
        <f>Y38+Y137</f>
        <v>7</v>
      </c>
      <c r="AC38" s="7" t="str">
        <f>A38</f>
        <v xml:space="preserve">Яйцо </v>
      </c>
      <c r="AD38" s="7"/>
      <c r="AE38" s="7"/>
      <c r="AF38" s="7"/>
    </row>
    <row r="39" spans="1:32" ht="15" customHeight="1" thickTop="1">
      <c r="A39" s="133"/>
      <c r="B39" s="121"/>
      <c r="C39" s="77" t="s">
        <v>72</v>
      </c>
      <c r="D39" s="287"/>
      <c r="E39" s="88"/>
      <c r="F39" s="90"/>
      <c r="G39" s="88"/>
      <c r="H39" s="108"/>
      <c r="I39" s="88"/>
      <c r="J39" s="108"/>
      <c r="K39" s="88"/>
      <c r="L39" s="88"/>
      <c r="M39" s="88"/>
      <c r="N39" s="88"/>
      <c r="O39" s="280"/>
      <c r="P39" s="88"/>
      <c r="Q39" s="108">
        <f>2.5/100*Q26</f>
        <v>2.5</v>
      </c>
      <c r="R39" s="129">
        <f>Q39/Q26*R26</f>
        <v>2.5</v>
      </c>
      <c r="S39" s="88"/>
      <c r="T39" s="88"/>
      <c r="U39" s="131"/>
      <c r="V39" s="272">
        <v>57.1</v>
      </c>
      <c r="W39" s="88"/>
      <c r="X39" s="88"/>
      <c r="Y39" s="125"/>
      <c r="Z39" s="123"/>
      <c r="AA39" s="7"/>
      <c r="AB39" s="224"/>
      <c r="AC39" s="7"/>
      <c r="AD39" s="7"/>
      <c r="AE39" s="7"/>
      <c r="AF39" s="7"/>
    </row>
    <row r="40" spans="1:32" ht="18.2" customHeight="1" thickBot="1">
      <c r="A40" s="346" t="s">
        <v>76</v>
      </c>
      <c r="B40" s="347">
        <v>29.08</v>
      </c>
      <c r="C40" s="348" t="s">
        <v>73</v>
      </c>
      <c r="D40" s="385"/>
      <c r="E40" s="350"/>
      <c r="F40" s="363"/>
      <c r="G40" s="350"/>
      <c r="H40" s="349"/>
      <c r="I40" s="350"/>
      <c r="J40" s="349"/>
      <c r="K40" s="350"/>
      <c r="L40" s="350"/>
      <c r="M40" s="341"/>
      <c r="N40" s="350"/>
      <c r="O40" s="420"/>
      <c r="P40" s="350">
        <f>P39*B25/1000</f>
        <v>0</v>
      </c>
      <c r="Q40" s="349">
        <f>Q39*Q25/1000</f>
        <v>0.25</v>
      </c>
      <c r="R40" s="341">
        <f>ROUND(Q40,2)</f>
        <v>0.25</v>
      </c>
      <c r="S40" s="350"/>
      <c r="T40" s="350"/>
      <c r="U40" s="341"/>
      <c r="V40" s="341">
        <f>V39*B25/1000</f>
        <v>5.71</v>
      </c>
      <c r="W40" s="350"/>
      <c r="X40" s="350"/>
      <c r="Y40" s="343">
        <f>ROUND(E40+G40+I40+K40+L40+M40+N40+P40+R40+S40+T40+U40+V40+W40+X40,2)</f>
        <v>5.96</v>
      </c>
      <c r="Z40" s="344">
        <f>Y40*B40</f>
        <v>173.3168</v>
      </c>
      <c r="AA40" s="7"/>
      <c r="AB40" s="223">
        <f>Y40+Y139</f>
        <v>10.440000000000001</v>
      </c>
      <c r="AC40" s="7" t="str">
        <f>A40</f>
        <v>Мука пшен.</v>
      </c>
      <c r="AD40" s="7"/>
      <c r="AE40" s="7"/>
      <c r="AF40" s="7"/>
    </row>
    <row r="41" spans="1:32" ht="15" customHeight="1" thickTop="1">
      <c r="A41" s="133"/>
      <c r="B41" s="121"/>
      <c r="C41" s="77" t="s">
        <v>72</v>
      </c>
      <c r="D41" s="287"/>
      <c r="E41" s="88"/>
      <c r="F41" s="90">
        <v>28.5</v>
      </c>
      <c r="G41" s="129">
        <f>F41/F26*G26</f>
        <v>28.5</v>
      </c>
      <c r="H41" s="108"/>
      <c r="I41" s="88"/>
      <c r="J41" s="108"/>
      <c r="K41" s="88"/>
      <c r="L41" s="88"/>
      <c r="M41" s="88"/>
      <c r="N41" s="88"/>
      <c r="O41" s="280"/>
      <c r="P41" s="88"/>
      <c r="Q41" s="108"/>
      <c r="R41" s="129"/>
      <c r="S41" s="88"/>
      <c r="T41" s="88"/>
      <c r="U41" s="88"/>
      <c r="V41" s="88"/>
      <c r="W41" s="88"/>
      <c r="X41" s="88"/>
      <c r="Y41" s="125"/>
      <c r="Z41" s="123"/>
      <c r="AA41" s="7"/>
      <c r="AB41" s="224"/>
      <c r="AC41" s="7"/>
      <c r="AD41" s="7"/>
      <c r="AE41" s="7"/>
      <c r="AF41" s="7"/>
    </row>
    <row r="42" spans="1:32" ht="15.75" customHeight="1" thickBot="1">
      <c r="A42" s="346" t="s">
        <v>187</v>
      </c>
      <c r="B42" s="347">
        <v>72.98</v>
      </c>
      <c r="C42" s="348" t="s">
        <v>73</v>
      </c>
      <c r="D42" s="385"/>
      <c r="E42" s="350"/>
      <c r="F42" s="363">
        <f>F41*F25/1000</f>
        <v>2.85</v>
      </c>
      <c r="G42" s="341">
        <f>F42</f>
        <v>2.85</v>
      </c>
      <c r="H42" s="349"/>
      <c r="I42" s="350"/>
      <c r="J42" s="349"/>
      <c r="K42" s="350"/>
      <c r="L42" s="350"/>
      <c r="M42" s="341"/>
      <c r="N42" s="350"/>
      <c r="O42" s="420"/>
      <c r="P42" s="378"/>
      <c r="Q42" s="349"/>
      <c r="R42" s="341"/>
      <c r="S42" s="350"/>
      <c r="T42" s="350"/>
      <c r="U42" s="350"/>
      <c r="V42" s="350"/>
      <c r="W42" s="350"/>
      <c r="X42" s="350"/>
      <c r="Y42" s="343">
        <f>ROUND(E42+G42+I42+K42+L42+M42+N42+P42+R42+S42+T42+U42+V42+W42+X42,2)</f>
        <v>2.85</v>
      </c>
      <c r="Z42" s="344">
        <f>Y42*B42</f>
        <v>207.99300000000002</v>
      </c>
      <c r="AA42" s="7"/>
      <c r="AB42" s="475">
        <f>Y42+Y141</f>
        <v>5.7</v>
      </c>
      <c r="AC42" s="7" t="str">
        <f>A42</f>
        <v>Гречневая кр.</v>
      </c>
      <c r="AD42" s="7"/>
      <c r="AE42" s="7"/>
      <c r="AF42" s="7"/>
    </row>
    <row r="43" spans="1:32" ht="15" customHeight="1" thickTop="1">
      <c r="A43" s="133"/>
      <c r="B43" s="121"/>
      <c r="C43" s="77" t="s">
        <v>72</v>
      </c>
      <c r="D43" s="287"/>
      <c r="E43" s="88"/>
      <c r="F43" s="90"/>
      <c r="G43" s="129"/>
      <c r="H43" s="108"/>
      <c r="I43" s="88"/>
      <c r="J43" s="108"/>
      <c r="K43" s="88"/>
      <c r="L43" s="88"/>
      <c r="M43" s="88"/>
      <c r="N43" s="131"/>
      <c r="O43" s="88">
        <v>44</v>
      </c>
      <c r="P43" s="88"/>
      <c r="Q43" s="108"/>
      <c r="R43" s="129"/>
      <c r="S43" s="88"/>
      <c r="T43" s="88"/>
      <c r="U43" s="88"/>
      <c r="V43" s="88"/>
      <c r="W43" s="88"/>
      <c r="X43" s="88"/>
      <c r="Y43" s="125"/>
      <c r="Z43" s="123"/>
      <c r="AA43" s="7"/>
      <c r="AB43" s="224"/>
      <c r="AC43" s="7"/>
      <c r="AD43" s="7"/>
      <c r="AE43" s="7"/>
      <c r="AF43" s="7"/>
    </row>
    <row r="44" spans="1:32" ht="15.75" customHeight="1" thickBot="1">
      <c r="A44" s="346" t="s">
        <v>157</v>
      </c>
      <c r="B44" s="347">
        <v>42.1</v>
      </c>
      <c r="C44" s="348" t="s">
        <v>73</v>
      </c>
      <c r="D44" s="385"/>
      <c r="E44" s="350"/>
      <c r="F44" s="363"/>
      <c r="G44" s="350"/>
      <c r="H44" s="349"/>
      <c r="I44" s="350"/>
      <c r="J44" s="349"/>
      <c r="K44" s="350"/>
      <c r="L44" s="350"/>
      <c r="M44" s="350"/>
      <c r="N44" s="350"/>
      <c r="O44" s="341">
        <f>ROUND(O43*B25/1000,2)</f>
        <v>4.4000000000000004</v>
      </c>
      <c r="P44" s="378"/>
      <c r="Q44" s="349"/>
      <c r="R44" s="341"/>
      <c r="S44" s="350"/>
      <c r="T44" s="350"/>
      <c r="U44" s="350"/>
      <c r="V44" s="350"/>
      <c r="W44" s="350"/>
      <c r="X44" s="350"/>
      <c r="Y44" s="343">
        <f>ROUND(E44+G44+I44+K44+L44+M44+N44+O44+P44+R44+S44+T44+U44+V44+W44+X44,2)</f>
        <v>4.4000000000000004</v>
      </c>
      <c r="Z44" s="344">
        <f>Y44*B44</f>
        <v>185.24</v>
      </c>
      <c r="AA44" s="7"/>
      <c r="AB44" s="223">
        <f>Y44+Y143</f>
        <v>8.1000000000000014</v>
      </c>
      <c r="AC44" s="7" t="str">
        <f>A44</f>
        <v>Макаронн. изд.</v>
      </c>
      <c r="AD44" s="7"/>
      <c r="AE44" s="7"/>
      <c r="AF44" s="7"/>
    </row>
    <row r="45" spans="1:32" ht="15" customHeight="1" thickTop="1">
      <c r="A45" s="133"/>
      <c r="B45" s="121"/>
      <c r="C45" s="77" t="s">
        <v>72</v>
      </c>
      <c r="D45" s="287"/>
      <c r="E45" s="88"/>
      <c r="F45" s="90">
        <v>2.2999999999999998</v>
      </c>
      <c r="G45" s="129">
        <f>F45/F26*G26</f>
        <v>2.2999999999999998</v>
      </c>
      <c r="H45" s="108">
        <v>7</v>
      </c>
      <c r="I45" s="129">
        <f>H45/H26*I26</f>
        <v>7</v>
      </c>
      <c r="J45" s="108"/>
      <c r="K45" s="88"/>
      <c r="L45" s="88"/>
      <c r="M45" s="131"/>
      <c r="N45" s="88"/>
      <c r="O45" s="280"/>
      <c r="P45" s="131"/>
      <c r="Q45" s="108"/>
      <c r="R45" s="88"/>
      <c r="S45" s="131">
        <v>10</v>
      </c>
      <c r="T45" s="88"/>
      <c r="U45" s="131"/>
      <c r="V45" s="272">
        <v>5.7</v>
      </c>
      <c r="W45" s="131">
        <v>7</v>
      </c>
      <c r="X45" s="88"/>
      <c r="Y45" s="125"/>
      <c r="Z45" s="123"/>
      <c r="AA45" s="7"/>
      <c r="AB45" s="224"/>
      <c r="AC45" s="7"/>
      <c r="AD45" s="7"/>
      <c r="AE45" s="7"/>
      <c r="AF45" s="7"/>
    </row>
    <row r="46" spans="1:32" ht="16.5" customHeight="1" thickBot="1">
      <c r="A46" s="346" t="s">
        <v>77</v>
      </c>
      <c r="B46" s="347">
        <v>62.77</v>
      </c>
      <c r="C46" s="348" t="s">
        <v>73</v>
      </c>
      <c r="D46" s="385"/>
      <c r="E46" s="350"/>
      <c r="F46" s="363">
        <f>F45*F25/1000</f>
        <v>0.22999999999999998</v>
      </c>
      <c r="G46" s="341">
        <f>ROUND(F46,2)</f>
        <v>0.23</v>
      </c>
      <c r="H46" s="349">
        <f>H45*H25/1000</f>
        <v>0.7</v>
      </c>
      <c r="I46" s="341">
        <f>ROUND(H46,2)</f>
        <v>0.7</v>
      </c>
      <c r="J46" s="349"/>
      <c r="K46" s="350"/>
      <c r="L46" s="350"/>
      <c r="M46" s="350"/>
      <c r="N46" s="341"/>
      <c r="O46" s="372"/>
      <c r="P46" s="350">
        <f>P45*B25/1000</f>
        <v>0</v>
      </c>
      <c r="Q46" s="349"/>
      <c r="R46" s="350"/>
      <c r="S46" s="341">
        <f>ROUND(S45*B25/1000,2)</f>
        <v>1</v>
      </c>
      <c r="T46" s="350"/>
      <c r="U46" s="350"/>
      <c r="V46" s="341">
        <f>V45*B25/1000</f>
        <v>0.56999999999999995</v>
      </c>
      <c r="W46" s="341">
        <f>ROUND(W45*B25/1000,2)</f>
        <v>0.7</v>
      </c>
      <c r="X46" s="350"/>
      <c r="Y46" s="343">
        <f>ROUND(E46+G46+I46+K46+L46+M46+N46+P46+R46+S46+T46+U46+V46+W46+X46,2)</f>
        <v>3.2</v>
      </c>
      <c r="Z46" s="344">
        <f>Y46*B46</f>
        <v>200.86400000000003</v>
      </c>
      <c r="AA46" s="7"/>
      <c r="AB46" s="223">
        <f>Y46+Y145</f>
        <v>5.86</v>
      </c>
      <c r="AC46" s="7" t="str">
        <f>A46</f>
        <v>Сахар</v>
      </c>
      <c r="AD46" s="7"/>
      <c r="AE46" s="7"/>
      <c r="AF46" s="7"/>
    </row>
    <row r="47" spans="1:32" ht="15" customHeight="1" thickTop="1">
      <c r="A47" s="133"/>
      <c r="B47" s="121"/>
      <c r="C47" s="77" t="s">
        <v>72</v>
      </c>
      <c r="D47" s="287"/>
      <c r="E47" s="88"/>
      <c r="F47" s="90"/>
      <c r="G47" s="88"/>
      <c r="H47" s="108"/>
      <c r="I47" s="88"/>
      <c r="J47" s="108"/>
      <c r="K47" s="88"/>
      <c r="L47" s="113">
        <f>L48/B25*1000</f>
        <v>100</v>
      </c>
      <c r="M47" s="88"/>
      <c r="N47" s="88"/>
      <c r="O47" s="280"/>
      <c r="P47" s="88"/>
      <c r="Q47" s="108"/>
      <c r="R47" s="88"/>
      <c r="S47" s="131"/>
      <c r="T47" s="88"/>
      <c r="U47" s="88"/>
      <c r="V47" s="88"/>
      <c r="W47" s="88"/>
      <c r="X47" s="88"/>
      <c r="Y47" s="125"/>
      <c r="Z47" s="123"/>
      <c r="AA47" s="7"/>
      <c r="AB47" s="224"/>
      <c r="AC47" s="7"/>
      <c r="AD47" s="7"/>
      <c r="AE47" s="7"/>
      <c r="AF47" s="7"/>
    </row>
    <row r="48" spans="1:32" ht="15.75" customHeight="1" thickBot="1">
      <c r="A48" s="346" t="s">
        <v>121</v>
      </c>
      <c r="B48" s="347">
        <v>100</v>
      </c>
      <c r="C48" s="348" t="s">
        <v>73</v>
      </c>
      <c r="D48" s="385"/>
      <c r="E48" s="350"/>
      <c r="F48" s="363"/>
      <c r="G48" s="350"/>
      <c r="H48" s="349"/>
      <c r="I48" s="350"/>
      <c r="J48" s="349"/>
      <c r="K48" s="350"/>
      <c r="L48" s="341">
        <v>10</v>
      </c>
      <c r="M48" s="350"/>
      <c r="N48" s="350"/>
      <c r="O48" s="420"/>
      <c r="P48" s="378"/>
      <c r="Q48" s="349"/>
      <c r="R48" s="350"/>
      <c r="S48" s="350">
        <f>S47*B25/1000</f>
        <v>0</v>
      </c>
      <c r="T48" s="350"/>
      <c r="U48" s="350"/>
      <c r="V48" s="350"/>
      <c r="W48" s="350"/>
      <c r="X48" s="350"/>
      <c r="Y48" s="343">
        <f>ROUND(E48+G48+I48+K48+L48+M48+N48+P48+R48+S48+T48+U48+V48+W48+X48,2)</f>
        <v>10</v>
      </c>
      <c r="Z48" s="344">
        <f>Y48*B48</f>
        <v>1000</v>
      </c>
      <c r="AA48" s="7"/>
      <c r="AB48" s="223">
        <f>Y48+Y147</f>
        <v>20</v>
      </c>
      <c r="AC48" s="7" t="str">
        <f>A48</f>
        <v>Фрукт?</v>
      </c>
      <c r="AD48" s="7"/>
      <c r="AE48" s="7"/>
      <c r="AF48" s="7"/>
    </row>
    <row r="49" spans="1:32" ht="12.75" customHeight="1" thickTop="1">
      <c r="A49" s="141"/>
      <c r="B49" s="102"/>
      <c r="C49" s="77" t="s">
        <v>72</v>
      </c>
      <c r="D49" s="287"/>
      <c r="E49" s="104"/>
      <c r="F49" s="103"/>
      <c r="G49" s="104"/>
      <c r="H49" s="108"/>
      <c r="I49" s="104"/>
      <c r="J49" s="108"/>
      <c r="K49" s="104"/>
      <c r="L49" s="137"/>
      <c r="M49" s="104"/>
      <c r="N49" s="104"/>
      <c r="O49" s="283"/>
      <c r="P49" s="88"/>
      <c r="Q49" s="108"/>
      <c r="R49" s="104"/>
      <c r="S49" s="183">
        <v>12</v>
      </c>
      <c r="T49" s="104"/>
      <c r="U49" s="104"/>
      <c r="V49" s="104"/>
      <c r="W49" s="104"/>
      <c r="X49" s="104"/>
      <c r="Y49" s="125"/>
      <c r="Z49" s="123"/>
      <c r="AA49" s="7"/>
      <c r="AB49" s="224"/>
      <c r="AC49" s="7"/>
      <c r="AD49" s="7"/>
      <c r="AE49" s="7"/>
      <c r="AF49" s="7"/>
    </row>
    <row r="50" spans="1:32" ht="15" customHeight="1" thickBot="1">
      <c r="A50" s="346" t="s">
        <v>67</v>
      </c>
      <c r="B50" s="347">
        <v>170</v>
      </c>
      <c r="C50" s="348" t="s">
        <v>73</v>
      </c>
      <c r="D50" s="385"/>
      <c r="E50" s="350"/>
      <c r="F50" s="363"/>
      <c r="G50" s="350"/>
      <c r="H50" s="349"/>
      <c r="I50" s="350"/>
      <c r="J50" s="349"/>
      <c r="K50" s="350"/>
      <c r="L50" s="341"/>
      <c r="M50" s="350"/>
      <c r="N50" s="350"/>
      <c r="O50" s="420"/>
      <c r="P50" s="350"/>
      <c r="Q50" s="349"/>
      <c r="R50" s="350"/>
      <c r="S50" s="341">
        <f>S49*B25/1000</f>
        <v>1.2</v>
      </c>
      <c r="T50" s="350"/>
      <c r="U50" s="350"/>
      <c r="V50" s="350"/>
      <c r="W50" s="350"/>
      <c r="X50" s="350"/>
      <c r="Y50" s="343">
        <f>ROUND(E50+G50+I50+K50+L50+M50+N50+P50+R50+S50+T50+U50+V50+W50+X50,2)</f>
        <v>1.2</v>
      </c>
      <c r="Z50" s="344">
        <f>Y50*B50</f>
        <v>204</v>
      </c>
      <c r="AA50" s="7"/>
      <c r="AB50" s="226">
        <f>Y50+Y149</f>
        <v>2.2000000000000002</v>
      </c>
      <c r="AC50" s="7" t="str">
        <f>A50</f>
        <v>Сухофрукты</v>
      </c>
      <c r="AD50" s="7"/>
      <c r="AE50" s="7"/>
      <c r="AF50" s="7"/>
    </row>
    <row r="51" spans="1:32" ht="10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8" t="s">
        <v>71</v>
      </c>
      <c r="AB51" s="227"/>
    </row>
    <row r="52" spans="1:32" ht="12" customHeight="1">
      <c r="A52" s="26" t="s">
        <v>53</v>
      </c>
      <c r="B52" s="20"/>
      <c r="C52" s="65"/>
      <c r="D52" s="6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8" t="s">
        <v>41</v>
      </c>
      <c r="P52" s="14"/>
      <c r="Q52" s="14"/>
      <c r="R52" s="14"/>
      <c r="S52" s="28" t="s">
        <v>11</v>
      </c>
      <c r="T52" s="28"/>
      <c r="U52" s="14"/>
      <c r="V52" s="14"/>
      <c r="W52" s="14"/>
      <c r="X52" s="22"/>
      <c r="Y52" s="1047" t="s">
        <v>8</v>
      </c>
      <c r="Z52" s="1048"/>
      <c r="AA52" s="7"/>
      <c r="AB52" s="228"/>
      <c r="AC52" s="7"/>
      <c r="AD52" s="7"/>
      <c r="AE52" s="7"/>
      <c r="AF52" s="7"/>
    </row>
    <row r="53" spans="1:32" ht="10.5" customHeight="1">
      <c r="A53" s="168"/>
      <c r="B53" s="19"/>
      <c r="C53" s="5" t="s">
        <v>52</v>
      </c>
      <c r="D53" s="482"/>
      <c r="E53" s="1052"/>
      <c r="F53" s="1052"/>
      <c r="G53" s="1052"/>
      <c r="H53" s="1052"/>
      <c r="I53" s="1052"/>
      <c r="J53" s="1052"/>
      <c r="K53" s="1053"/>
      <c r="L53" s="161" t="s">
        <v>69</v>
      </c>
      <c r="M53" s="621"/>
      <c r="N53" s="1056" t="s">
        <v>16</v>
      </c>
      <c r="O53" s="1052"/>
      <c r="P53" s="1052"/>
      <c r="Q53" s="1052"/>
      <c r="R53" s="1052"/>
      <c r="S53" s="1052"/>
      <c r="T53" s="1053"/>
      <c r="U53" s="1056" t="s">
        <v>17</v>
      </c>
      <c r="V53" s="1052"/>
      <c r="W53" s="1052"/>
      <c r="X53" s="1052"/>
      <c r="Y53" s="1058" t="s">
        <v>3</v>
      </c>
      <c r="Z53" s="1059"/>
      <c r="AA53" s="7"/>
      <c r="AB53" s="228"/>
      <c r="AC53" s="7"/>
      <c r="AD53" s="7"/>
      <c r="AE53" s="7"/>
      <c r="AF53" s="7"/>
    </row>
    <row r="54" spans="1:32" ht="3.75" customHeight="1">
      <c r="A54" s="167"/>
      <c r="B54" s="5"/>
      <c r="C54" s="5" t="s">
        <v>51</v>
      </c>
      <c r="D54" s="447"/>
      <c r="E54" s="1054"/>
      <c r="F54" s="1054"/>
      <c r="G54" s="1054"/>
      <c r="H54" s="1054"/>
      <c r="I54" s="1054"/>
      <c r="J54" s="1054"/>
      <c r="K54" s="1055"/>
      <c r="L54" s="163"/>
      <c r="M54" s="622"/>
      <c r="N54" s="1057"/>
      <c r="O54" s="1054"/>
      <c r="P54" s="1054"/>
      <c r="Q54" s="1054"/>
      <c r="R54" s="1054"/>
      <c r="S54" s="1054"/>
      <c r="T54" s="1055"/>
      <c r="U54" s="1057"/>
      <c r="V54" s="1054"/>
      <c r="W54" s="1054"/>
      <c r="X54" s="1054"/>
      <c r="Y54" s="1047" t="s">
        <v>36</v>
      </c>
      <c r="Z54" s="1048"/>
      <c r="AA54" s="8"/>
      <c r="AB54" s="228"/>
      <c r="AC54" s="7"/>
      <c r="AD54" s="7"/>
      <c r="AE54" s="7"/>
      <c r="AF54" s="7"/>
    </row>
    <row r="55" spans="1:32" ht="6.75" customHeight="1">
      <c r="A55" s="167" t="s">
        <v>54</v>
      </c>
      <c r="B55" s="5" t="s">
        <v>65</v>
      </c>
      <c r="C55" s="5" t="s">
        <v>9</v>
      </c>
      <c r="D55" s="1078" t="str">
        <f>D21</f>
        <v>Бут.. с масл. сл. и сыром</v>
      </c>
      <c r="E55" s="1038" t="str">
        <f>E21</f>
        <v>10./  5. /20</v>
      </c>
      <c r="F55" s="1035" t="str">
        <f>F21</f>
        <v>Каша гречн. мол. с масл, с сах.</v>
      </c>
      <c r="G55" s="1038"/>
      <c r="H55" s="1041" t="str">
        <f>H21</f>
        <v>Чай с молоком</v>
      </c>
      <c r="I55" s="1038"/>
      <c r="J55" s="1041" t="str">
        <f>J21</f>
        <v>Батон витам.</v>
      </c>
      <c r="K55" s="1038"/>
      <c r="L55" s="1041" t="str">
        <f t="shared" ref="L55:Q55" si="0">L21</f>
        <v>Фрукты порц.</v>
      </c>
      <c r="M55" s="1041" t="str">
        <f t="shared" si="0"/>
        <v>Суп из овощей</v>
      </c>
      <c r="N55" s="1044" t="str">
        <f t="shared" si="0"/>
        <v>со сметаной</v>
      </c>
      <c r="O55" s="1035" t="str">
        <f t="shared" si="0"/>
        <v>Макаронные изд отв.</v>
      </c>
      <c r="P55" s="1038">
        <f t="shared" si="0"/>
        <v>0</v>
      </c>
      <c r="Q55" s="1035" t="str">
        <f t="shared" si="0"/>
        <v xml:space="preserve">Гуляш  </v>
      </c>
      <c r="R55" s="1038"/>
      <c r="S55" s="1041" t="str">
        <f>S21</f>
        <v>Компот из с/фруктов</v>
      </c>
      <c r="T55" s="1044" t="s">
        <v>68</v>
      </c>
      <c r="U55" s="1044" t="str">
        <f>U21</f>
        <v>Винегрет</v>
      </c>
      <c r="V55" s="1044" t="str">
        <f>V21</f>
        <v>Булочка "Веснушка"</v>
      </c>
      <c r="W55" s="1044" t="str">
        <f>W21</f>
        <v>Кофейный напиток</v>
      </c>
      <c r="X55" s="1044" t="str">
        <f>X21</f>
        <v>Хлеб йодирован. пшен.</v>
      </c>
      <c r="Y55" s="24"/>
      <c r="Z55" s="23"/>
      <c r="AA55" s="7"/>
      <c r="AB55" s="228"/>
      <c r="AC55" s="7"/>
      <c r="AD55" s="7"/>
      <c r="AE55" s="7"/>
      <c r="AF55" s="7"/>
    </row>
    <row r="56" spans="1:32" ht="10.5" customHeight="1">
      <c r="A56" s="167"/>
      <c r="B56" s="5"/>
      <c r="C56" s="5" t="s">
        <v>10</v>
      </c>
      <c r="D56" s="1079"/>
      <c r="E56" s="1039"/>
      <c r="F56" s="1036"/>
      <c r="G56" s="1039"/>
      <c r="H56" s="1042"/>
      <c r="I56" s="1039"/>
      <c r="J56" s="1042"/>
      <c r="K56" s="1039"/>
      <c r="L56" s="1042"/>
      <c r="M56" s="1042"/>
      <c r="N56" s="1045"/>
      <c r="O56" s="1036"/>
      <c r="P56" s="1039"/>
      <c r="Q56" s="1036"/>
      <c r="R56" s="1039"/>
      <c r="S56" s="1042"/>
      <c r="T56" s="1045"/>
      <c r="U56" s="1045"/>
      <c r="V56" s="1045"/>
      <c r="W56" s="1045"/>
      <c r="X56" s="1045"/>
      <c r="Y56" s="19" t="s">
        <v>6</v>
      </c>
      <c r="Z56" s="166" t="s">
        <v>4</v>
      </c>
      <c r="AA56" s="7"/>
      <c r="AB56" s="228"/>
      <c r="AC56" s="7"/>
      <c r="AD56" s="7"/>
      <c r="AE56" s="7"/>
      <c r="AF56" s="7"/>
    </row>
    <row r="57" spans="1:32" ht="12.75" customHeight="1">
      <c r="A57" s="169"/>
      <c r="B57" s="4"/>
      <c r="C57" s="4"/>
      <c r="D57" s="1080"/>
      <c r="E57" s="1040"/>
      <c r="F57" s="1037"/>
      <c r="G57" s="1040"/>
      <c r="H57" s="1043"/>
      <c r="I57" s="1040"/>
      <c r="J57" s="1043"/>
      <c r="K57" s="1040"/>
      <c r="L57" s="1043"/>
      <c r="M57" s="1043"/>
      <c r="N57" s="1046"/>
      <c r="O57" s="1037"/>
      <c r="P57" s="1040"/>
      <c r="Q57" s="1037"/>
      <c r="R57" s="1040"/>
      <c r="S57" s="1043"/>
      <c r="T57" s="1046"/>
      <c r="U57" s="1046"/>
      <c r="V57" s="1046"/>
      <c r="W57" s="1046"/>
      <c r="X57" s="1046"/>
      <c r="Y57" s="4" t="s">
        <v>7</v>
      </c>
      <c r="Z57" s="165" t="s">
        <v>5</v>
      </c>
      <c r="AA57" s="7"/>
      <c r="AB57" s="228"/>
      <c r="AC57" s="7"/>
      <c r="AD57" s="7"/>
      <c r="AE57" s="7"/>
      <c r="AF57" s="7"/>
    </row>
    <row r="58" spans="1:32" ht="11.25" customHeight="1" thickBot="1">
      <c r="A58" s="64">
        <v>1</v>
      </c>
      <c r="B58" s="810">
        <v>2</v>
      </c>
      <c r="C58" s="72">
        <v>3</v>
      </c>
      <c r="D58" s="86">
        <v>4</v>
      </c>
      <c r="E58" s="80">
        <v>5</v>
      </c>
      <c r="F58" s="86">
        <v>6</v>
      </c>
      <c r="G58" s="76">
        <v>7</v>
      </c>
      <c r="H58" s="87">
        <v>8</v>
      </c>
      <c r="I58" s="80">
        <v>9</v>
      </c>
      <c r="J58" s="82">
        <v>10</v>
      </c>
      <c r="K58" s="95">
        <v>11</v>
      </c>
      <c r="L58" s="96">
        <v>12</v>
      </c>
      <c r="M58" s="81">
        <v>13</v>
      </c>
      <c r="N58" s="81">
        <v>14</v>
      </c>
      <c r="O58" s="81">
        <v>15</v>
      </c>
      <c r="P58" s="80">
        <v>16</v>
      </c>
      <c r="Q58" s="97">
        <v>17</v>
      </c>
      <c r="R58" s="93">
        <v>18</v>
      </c>
      <c r="S58" s="96">
        <v>19</v>
      </c>
      <c r="T58" s="98">
        <v>20</v>
      </c>
      <c r="U58" s="80">
        <v>21</v>
      </c>
      <c r="V58" s="96">
        <v>22</v>
      </c>
      <c r="W58" s="81">
        <v>23</v>
      </c>
      <c r="X58" s="96">
        <v>24</v>
      </c>
      <c r="Y58" s="35">
        <v>25</v>
      </c>
      <c r="Z58" s="809">
        <v>26</v>
      </c>
      <c r="AA58" s="7"/>
      <c r="AB58" s="228"/>
      <c r="AC58" s="7"/>
      <c r="AD58" s="7"/>
      <c r="AE58" s="7"/>
      <c r="AF58" s="7"/>
    </row>
    <row r="59" spans="1:32" ht="15" customHeight="1" thickTop="1">
      <c r="A59" s="135"/>
      <c r="B59" s="13"/>
      <c r="C59" s="77" t="s">
        <v>72</v>
      </c>
      <c r="D59" s="297"/>
      <c r="E59" s="277"/>
      <c r="F59" s="109"/>
      <c r="G59" s="94"/>
      <c r="H59" s="109"/>
      <c r="I59" s="94"/>
      <c r="J59" s="109"/>
      <c r="K59" s="94"/>
      <c r="L59" s="94"/>
      <c r="M59" s="130">
        <v>61.6</v>
      </c>
      <c r="N59" s="130"/>
      <c r="O59" s="579"/>
      <c r="P59" s="410"/>
      <c r="Q59" s="429"/>
      <c r="R59" s="182"/>
      <c r="S59" s="94"/>
      <c r="T59" s="94"/>
      <c r="U59" s="130">
        <v>20</v>
      </c>
      <c r="V59" s="277"/>
      <c r="W59" s="94"/>
      <c r="X59" s="94"/>
      <c r="Y59" s="117"/>
      <c r="Z59" s="116"/>
      <c r="AA59" s="7"/>
      <c r="AB59" s="228"/>
      <c r="AC59" s="7"/>
      <c r="AD59" s="7"/>
      <c r="AE59" s="7"/>
    </row>
    <row r="60" spans="1:32" ht="18" customHeight="1" thickBot="1">
      <c r="A60" s="346" t="s">
        <v>26</v>
      </c>
      <c r="B60" s="347">
        <v>28</v>
      </c>
      <c r="C60" s="348" t="s">
        <v>73</v>
      </c>
      <c r="D60" s="387"/>
      <c r="E60" s="353"/>
      <c r="F60" s="338"/>
      <c r="G60" s="337"/>
      <c r="H60" s="338"/>
      <c r="I60" s="337"/>
      <c r="J60" s="338"/>
      <c r="K60" s="337"/>
      <c r="L60" s="337"/>
      <c r="M60" s="339">
        <f>M59*B25/1000</f>
        <v>6.16</v>
      </c>
      <c r="N60" s="339"/>
      <c r="O60" s="372"/>
      <c r="P60" s="350">
        <f>P59*B25/1000</f>
        <v>0</v>
      </c>
      <c r="Q60" s="349"/>
      <c r="R60" s="340"/>
      <c r="S60" s="337"/>
      <c r="T60" s="337"/>
      <c r="U60" s="341">
        <f>U59*B25/1000</f>
        <v>2</v>
      </c>
      <c r="V60" s="353"/>
      <c r="W60" s="337"/>
      <c r="X60" s="337"/>
      <c r="Y60" s="343">
        <f>ROUND(E60+G60+I60+K60+L60+M60+N60+P60+R60+S60+T60+U60+V60+W60+X60,2)</f>
        <v>8.16</v>
      </c>
      <c r="Z60" s="344">
        <f>Y60*B60</f>
        <v>228.48000000000002</v>
      </c>
      <c r="AA60" s="7"/>
      <c r="AB60" s="223">
        <f>Y60+Y159</f>
        <v>14.9</v>
      </c>
      <c r="AC60" s="7" t="str">
        <f>A60</f>
        <v>Картофель</v>
      </c>
      <c r="AD60" s="7"/>
      <c r="AE60" s="7"/>
    </row>
    <row r="61" spans="1:32" ht="13.5" customHeight="1" thickTop="1">
      <c r="A61" s="133"/>
      <c r="B61" s="122"/>
      <c r="C61" s="77" t="s">
        <v>72</v>
      </c>
      <c r="D61" s="78"/>
      <c r="E61" s="268"/>
      <c r="F61" s="112"/>
      <c r="G61" s="127"/>
      <c r="H61" s="112"/>
      <c r="I61" s="106"/>
      <c r="J61" s="112"/>
      <c r="K61" s="106"/>
      <c r="L61" s="106"/>
      <c r="M61" s="127">
        <v>10</v>
      </c>
      <c r="N61" s="127"/>
      <c r="O61" s="403"/>
      <c r="P61" s="464"/>
      <c r="Q61" s="177"/>
      <c r="R61" s="106"/>
      <c r="S61" s="106"/>
      <c r="T61" s="106"/>
      <c r="U61" s="250">
        <v>7.7</v>
      </c>
      <c r="V61" s="272"/>
      <c r="W61" s="106"/>
      <c r="X61" s="106"/>
      <c r="Y61" s="125"/>
      <c r="Z61" s="123"/>
      <c r="AA61" s="7"/>
      <c r="AB61" s="224"/>
      <c r="AC61" s="7"/>
      <c r="AD61" s="7"/>
      <c r="AE61" s="7"/>
    </row>
    <row r="62" spans="1:32" ht="18" customHeight="1" thickBot="1">
      <c r="A62" s="346" t="s">
        <v>90</v>
      </c>
      <c r="B62" s="347">
        <v>190</v>
      </c>
      <c r="C62" s="348" t="s">
        <v>73</v>
      </c>
      <c r="D62" s="387"/>
      <c r="E62" s="353"/>
      <c r="F62" s="349"/>
      <c r="G62" s="340"/>
      <c r="H62" s="338"/>
      <c r="I62" s="337"/>
      <c r="J62" s="338"/>
      <c r="K62" s="337"/>
      <c r="L62" s="337"/>
      <c r="M62" s="339">
        <f>M61*B25/1000</f>
        <v>1</v>
      </c>
      <c r="N62" s="340"/>
      <c r="O62" s="420"/>
      <c r="P62" s="463"/>
      <c r="Q62" s="349"/>
      <c r="R62" s="337"/>
      <c r="S62" s="337"/>
      <c r="T62" s="337"/>
      <c r="U62" s="341">
        <f>U61*B25/1000</f>
        <v>0.77</v>
      </c>
      <c r="V62" s="350"/>
      <c r="W62" s="337"/>
      <c r="X62" s="337"/>
      <c r="Y62" s="343">
        <f>ROUND(E62+G62+I62+K62+L62+M62+N62+P62+R62+S62+T62+U62+V62+W62+X62,2)</f>
        <v>1.77</v>
      </c>
      <c r="Z62" s="344">
        <f>Y62*B62</f>
        <v>336.3</v>
      </c>
      <c r="AA62" s="7"/>
      <c r="AB62" s="223">
        <f>Y62+Y161</f>
        <v>3.59</v>
      </c>
      <c r="AC62" s="7" t="str">
        <f>A62</f>
        <v>Горошек конс.</v>
      </c>
      <c r="AD62" s="7"/>
      <c r="AE62" s="7"/>
    </row>
    <row r="63" spans="1:32" ht="16.5" customHeight="1" thickTop="1">
      <c r="A63" s="133"/>
      <c r="B63" s="122"/>
      <c r="C63" s="77" t="s">
        <v>72</v>
      </c>
      <c r="D63" s="78"/>
      <c r="E63" s="268"/>
      <c r="F63" s="112"/>
      <c r="G63" s="106"/>
      <c r="H63" s="112"/>
      <c r="I63" s="106"/>
      <c r="J63" s="112"/>
      <c r="K63" s="106"/>
      <c r="L63" s="106"/>
      <c r="M63" s="127">
        <v>9.6</v>
      </c>
      <c r="N63" s="127"/>
      <c r="O63" s="403"/>
      <c r="P63" s="499"/>
      <c r="Q63" s="177">
        <f>10/100*Q26</f>
        <v>10</v>
      </c>
      <c r="R63" s="129">
        <f>Q63/Q26*R26</f>
        <v>10</v>
      </c>
      <c r="S63" s="106"/>
      <c r="T63" s="106"/>
      <c r="U63" s="250">
        <v>9</v>
      </c>
      <c r="V63" s="268"/>
      <c r="W63" s="106"/>
      <c r="X63" s="106"/>
      <c r="Y63" s="125"/>
      <c r="Z63" s="124"/>
      <c r="AA63" s="7"/>
      <c r="AB63" s="224"/>
      <c r="AC63" s="7"/>
      <c r="AD63" s="7"/>
      <c r="AE63" s="7"/>
      <c r="AF63" s="7"/>
    </row>
    <row r="64" spans="1:32" ht="18" customHeight="1" thickBot="1">
      <c r="A64" s="346" t="s">
        <v>109</v>
      </c>
      <c r="B64" s="347">
        <v>37</v>
      </c>
      <c r="C64" s="348" t="s">
        <v>73</v>
      </c>
      <c r="D64" s="387"/>
      <c r="E64" s="353"/>
      <c r="F64" s="338"/>
      <c r="G64" s="337"/>
      <c r="H64" s="338"/>
      <c r="I64" s="337"/>
      <c r="J64" s="338"/>
      <c r="K64" s="337"/>
      <c r="L64" s="337"/>
      <c r="M64" s="339">
        <f>M63*B25/1000</f>
        <v>0.96</v>
      </c>
      <c r="N64" s="339"/>
      <c r="O64" s="372"/>
      <c r="P64" s="350">
        <f>P63*B25/1000</f>
        <v>0</v>
      </c>
      <c r="Q64" s="349">
        <f>Q63*Q25/1000</f>
        <v>1</v>
      </c>
      <c r="R64" s="341">
        <f>ROUND(Q64,2)</f>
        <v>1</v>
      </c>
      <c r="S64" s="337"/>
      <c r="T64" s="337"/>
      <c r="U64" s="341">
        <f>U63*U25/1000</f>
        <v>0.9</v>
      </c>
      <c r="V64" s="353"/>
      <c r="W64" s="337"/>
      <c r="X64" s="337"/>
      <c r="Y64" s="343">
        <f>ROUND(E64+G64+I64+K64+L64+M64+N64+P64+R64+S64+T64+U64+V64+W64+X64,2)</f>
        <v>2.86</v>
      </c>
      <c r="Z64" s="351">
        <f>Y64*B64</f>
        <v>105.82</v>
      </c>
      <c r="AA64" s="7"/>
      <c r="AB64" s="223">
        <f>Y64+Y163</f>
        <v>5.1099999999999994</v>
      </c>
      <c r="AC64" s="7" t="str">
        <f>A64</f>
        <v>Лук репч.</v>
      </c>
      <c r="AD64" s="7"/>
      <c r="AE64" s="7"/>
      <c r="AF64" s="7"/>
    </row>
    <row r="65" spans="1:32" ht="15" customHeight="1" thickTop="1">
      <c r="A65" s="133"/>
      <c r="B65" s="122"/>
      <c r="C65" s="77" t="s">
        <v>72</v>
      </c>
      <c r="D65" s="78"/>
      <c r="E65" s="268"/>
      <c r="F65" s="112"/>
      <c r="G65" s="106"/>
      <c r="H65" s="112"/>
      <c r="I65" s="106"/>
      <c r="J65" s="112"/>
      <c r="K65" s="106"/>
      <c r="L65" s="106"/>
      <c r="M65" s="127">
        <v>10.6</v>
      </c>
      <c r="N65" s="127"/>
      <c r="O65" s="403"/>
      <c r="P65" s="499"/>
      <c r="Q65" s="177">
        <f>16.6/100*Q26</f>
        <v>16.600000000000001</v>
      </c>
      <c r="R65" s="178">
        <f>Q65/Q26*R26</f>
        <v>16.600000000000001</v>
      </c>
      <c r="S65" s="106"/>
      <c r="T65" s="106"/>
      <c r="U65" s="127">
        <v>10</v>
      </c>
      <c r="V65" s="268"/>
      <c r="W65" s="106"/>
      <c r="X65" s="106"/>
      <c r="Y65" s="125"/>
      <c r="Z65" s="123"/>
      <c r="AA65" s="7"/>
      <c r="AB65" s="224"/>
      <c r="AC65" s="7"/>
      <c r="AD65" s="7"/>
      <c r="AE65" s="7"/>
      <c r="AF65" s="7"/>
    </row>
    <row r="66" spans="1:32" ht="18" customHeight="1" thickBot="1">
      <c r="A66" s="346" t="s">
        <v>215</v>
      </c>
      <c r="B66" s="347">
        <v>38</v>
      </c>
      <c r="C66" s="348" t="s">
        <v>73</v>
      </c>
      <c r="D66" s="387"/>
      <c r="E66" s="353"/>
      <c r="F66" s="338"/>
      <c r="G66" s="337"/>
      <c r="H66" s="338"/>
      <c r="I66" s="337"/>
      <c r="J66" s="338"/>
      <c r="K66" s="337"/>
      <c r="L66" s="337"/>
      <c r="M66" s="339">
        <f>M65*B25/1000</f>
        <v>1.06</v>
      </c>
      <c r="N66" s="339"/>
      <c r="O66" s="372"/>
      <c r="P66" s="350">
        <f>P65*B25/1000</f>
        <v>0</v>
      </c>
      <c r="Q66" s="349">
        <f>Q65*Q25/1000</f>
        <v>1.6600000000000001</v>
      </c>
      <c r="R66" s="339">
        <f>Q66</f>
        <v>1.6600000000000001</v>
      </c>
      <c r="S66" s="337"/>
      <c r="T66" s="337"/>
      <c r="U66" s="341">
        <f>U65*U25/1000</f>
        <v>1</v>
      </c>
      <c r="V66" s="353"/>
      <c r="W66" s="337"/>
      <c r="X66" s="337"/>
      <c r="Y66" s="343">
        <f>ROUND(E66+G66+I66+K66+L66+M66+N66+P66+R66+S66+T66+U66+V66+W66+X66,2)</f>
        <v>3.72</v>
      </c>
      <c r="Z66" s="344">
        <f>Y66*B66</f>
        <v>141.36000000000001</v>
      </c>
      <c r="AA66" s="7"/>
      <c r="AB66" s="223">
        <f>Y66+Y165</f>
        <v>6.61</v>
      </c>
      <c r="AC66" s="7" t="str">
        <f>A66</f>
        <v>Морковь св.</v>
      </c>
      <c r="AD66" s="7"/>
      <c r="AE66" s="7"/>
      <c r="AF66" s="7"/>
    </row>
    <row r="67" spans="1:32" ht="15" customHeight="1" thickTop="1">
      <c r="A67" s="133"/>
      <c r="B67" s="122"/>
      <c r="C67" s="77" t="s">
        <v>72</v>
      </c>
      <c r="D67" s="107"/>
      <c r="E67" s="129"/>
      <c r="F67" s="112"/>
      <c r="G67" s="106"/>
      <c r="H67" s="112"/>
      <c r="I67" s="106"/>
      <c r="J67" s="112"/>
      <c r="K67" s="106"/>
      <c r="L67" s="106"/>
      <c r="M67" s="127">
        <v>20</v>
      </c>
      <c r="N67" s="127"/>
      <c r="O67" s="403"/>
      <c r="P67" s="464"/>
      <c r="Q67" s="112"/>
      <c r="R67" s="106"/>
      <c r="S67" s="106"/>
      <c r="T67" s="106"/>
      <c r="U67" s="127"/>
      <c r="V67" s="268"/>
      <c r="W67" s="180"/>
      <c r="X67" s="106"/>
      <c r="Y67" s="125"/>
      <c r="Z67" s="123"/>
      <c r="AA67" s="7"/>
      <c r="AB67" s="224"/>
      <c r="AC67" s="7"/>
      <c r="AD67" s="7"/>
      <c r="AE67" s="7"/>
      <c r="AF67" s="7"/>
    </row>
    <row r="68" spans="1:32" ht="18" customHeight="1" thickBot="1">
      <c r="A68" s="346" t="s">
        <v>93</v>
      </c>
      <c r="B68" s="347">
        <v>30</v>
      </c>
      <c r="C68" s="348" t="s">
        <v>73</v>
      </c>
      <c r="D68" s="363"/>
      <c r="E68" s="350"/>
      <c r="F68" s="338"/>
      <c r="G68" s="337"/>
      <c r="H68" s="338"/>
      <c r="I68" s="337"/>
      <c r="J68" s="338"/>
      <c r="K68" s="337"/>
      <c r="L68" s="337"/>
      <c r="M68" s="339">
        <f>M67*B25/1000</f>
        <v>2</v>
      </c>
      <c r="N68" s="339"/>
      <c r="O68" s="589"/>
      <c r="P68" s="463"/>
      <c r="Q68" s="338"/>
      <c r="R68" s="337"/>
      <c r="S68" s="337"/>
      <c r="T68" s="337"/>
      <c r="U68" s="340"/>
      <c r="V68" s="353"/>
      <c r="W68" s="358"/>
      <c r="X68" s="337"/>
      <c r="Y68" s="343">
        <f>ROUND(E68+G68+I68+K68+L68+M68+N68+P68+R68+S68+T68+U68+V68+W68+X68,2)</f>
        <v>2</v>
      </c>
      <c r="Z68" s="344">
        <f>Y68*B68</f>
        <v>60</v>
      </c>
      <c r="AA68" s="7"/>
      <c r="AB68" s="223">
        <f>Y68+Y167</f>
        <v>3.8</v>
      </c>
      <c r="AC68" s="7" t="str">
        <f>A68</f>
        <v>Капуста св. б/к</v>
      </c>
      <c r="AD68" s="7"/>
      <c r="AE68" s="7"/>
      <c r="AF68" s="7"/>
    </row>
    <row r="69" spans="1:32" ht="15" customHeight="1" thickTop="1">
      <c r="A69" s="133"/>
      <c r="B69" s="122"/>
      <c r="C69" s="77" t="s">
        <v>72</v>
      </c>
      <c r="D69" s="489">
        <v>20</v>
      </c>
      <c r="E69" s="184">
        <f>D69/D26*E26</f>
        <v>20</v>
      </c>
      <c r="F69" s="112"/>
      <c r="G69" s="106"/>
      <c r="H69" s="112"/>
      <c r="I69" s="106"/>
      <c r="J69" s="112"/>
      <c r="K69" s="179">
        <f>K70/B25*1000</f>
        <v>20</v>
      </c>
      <c r="L69" s="106"/>
      <c r="M69" s="106"/>
      <c r="N69" s="106"/>
      <c r="O69" s="460"/>
      <c r="P69" s="464"/>
      <c r="Q69" s="177"/>
      <c r="R69" s="182"/>
      <c r="S69" s="106"/>
      <c r="T69" s="106"/>
      <c r="U69" s="106"/>
      <c r="V69" s="268"/>
      <c r="W69" s="106"/>
      <c r="X69" s="114"/>
      <c r="Y69" s="125"/>
      <c r="Z69" s="123"/>
      <c r="AA69" s="7"/>
      <c r="AB69" s="224"/>
      <c r="AC69" s="7"/>
      <c r="AD69" s="7"/>
      <c r="AE69" s="7"/>
      <c r="AF69" s="7"/>
    </row>
    <row r="70" spans="1:32" ht="18" customHeight="1" thickBot="1">
      <c r="A70" s="346" t="s">
        <v>62</v>
      </c>
      <c r="B70" s="347">
        <v>81.099999999999994</v>
      </c>
      <c r="C70" s="348" t="s">
        <v>73</v>
      </c>
      <c r="D70" s="490">
        <f>D69*F25/1000</f>
        <v>2</v>
      </c>
      <c r="E70" s="341">
        <f>D70</f>
        <v>2</v>
      </c>
      <c r="F70" s="338"/>
      <c r="G70" s="337"/>
      <c r="H70" s="338"/>
      <c r="I70" s="337"/>
      <c r="J70" s="338"/>
      <c r="K70" s="339">
        <v>2</v>
      </c>
      <c r="L70" s="337"/>
      <c r="M70" s="337"/>
      <c r="N70" s="337"/>
      <c r="O70" s="459"/>
      <c r="P70" s="463"/>
      <c r="Q70" s="349"/>
      <c r="R70" s="340"/>
      <c r="S70" s="337"/>
      <c r="T70" s="337"/>
      <c r="U70" s="337"/>
      <c r="V70" s="353"/>
      <c r="W70" s="337"/>
      <c r="X70" s="339"/>
      <c r="Y70" s="343">
        <f>ROUND(E70+G70+I70+K70+L70+M70+N70+P70+R70+S70+T70+U70+V70+W70+X70,2)</f>
        <v>4</v>
      </c>
      <c r="Z70" s="344">
        <f>Y70*B70</f>
        <v>324.39999999999998</v>
      </c>
      <c r="AA70" s="7"/>
      <c r="AB70" s="223">
        <f>Y70+Y169</f>
        <v>7</v>
      </c>
      <c r="AC70" s="7" t="str">
        <f>A70</f>
        <v>Батон витам.</v>
      </c>
      <c r="AD70" s="7"/>
      <c r="AE70" s="7"/>
      <c r="AF70" s="7"/>
    </row>
    <row r="71" spans="1:32" ht="16.5" customHeight="1" thickTop="1">
      <c r="A71" s="133"/>
      <c r="B71" s="122"/>
      <c r="C71" s="77" t="s">
        <v>72</v>
      </c>
      <c r="D71" s="78"/>
      <c r="E71" s="268"/>
      <c r="F71" s="112"/>
      <c r="G71" s="106"/>
      <c r="H71" s="112"/>
      <c r="I71" s="106"/>
      <c r="J71" s="112"/>
      <c r="K71" s="106"/>
      <c r="L71" s="106"/>
      <c r="M71" s="106"/>
      <c r="N71" s="106"/>
      <c r="O71" s="460"/>
      <c r="P71" s="464"/>
      <c r="Q71" s="112"/>
      <c r="R71" s="106"/>
      <c r="S71" s="106"/>
      <c r="T71" s="179">
        <f>T72/T25*1000</f>
        <v>40</v>
      </c>
      <c r="U71" s="106"/>
      <c r="V71" s="268"/>
      <c r="W71" s="106"/>
      <c r="X71" s="106"/>
      <c r="Y71" s="125"/>
      <c r="Z71" s="123"/>
      <c r="AA71" s="7"/>
      <c r="AB71" s="224"/>
      <c r="AC71" s="7"/>
      <c r="AD71" s="7"/>
      <c r="AE71" s="7"/>
      <c r="AF71" s="7"/>
    </row>
    <row r="72" spans="1:32" ht="18" customHeight="1" thickBot="1">
      <c r="A72" s="346" t="s">
        <v>82</v>
      </c>
      <c r="B72" s="347">
        <v>55</v>
      </c>
      <c r="C72" s="348" t="s">
        <v>73</v>
      </c>
      <c r="D72" s="387"/>
      <c r="E72" s="353"/>
      <c r="F72" s="338"/>
      <c r="G72" s="337"/>
      <c r="H72" s="338"/>
      <c r="I72" s="337"/>
      <c r="J72" s="338"/>
      <c r="K72" s="337"/>
      <c r="L72" s="337"/>
      <c r="M72" s="337"/>
      <c r="N72" s="337"/>
      <c r="O72" s="459"/>
      <c r="P72" s="463"/>
      <c r="Q72" s="338"/>
      <c r="R72" s="337"/>
      <c r="S72" s="337"/>
      <c r="T72" s="342">
        <v>4</v>
      </c>
      <c r="U72" s="337"/>
      <c r="V72" s="353"/>
      <c r="W72" s="337"/>
      <c r="X72" s="337"/>
      <c r="Y72" s="343">
        <f>ROUND(E72+G72+I72+K72+L72+M72+N72+P72+R72+S72+T72+U72+V72+W72+X72,2)</f>
        <v>4</v>
      </c>
      <c r="Z72" s="344">
        <f>Y72*B72</f>
        <v>220</v>
      </c>
      <c r="AA72" s="7"/>
      <c r="AB72" s="226">
        <f>Y72+Y171</f>
        <v>7</v>
      </c>
      <c r="AC72" s="7" t="str">
        <f>A72</f>
        <v>Хлеб рж-пшен.</v>
      </c>
      <c r="AD72" s="7"/>
      <c r="AE72" s="7"/>
      <c r="AF72" s="7"/>
    </row>
    <row r="73" spans="1:32" ht="17.25" customHeight="1" thickTop="1">
      <c r="A73" s="133"/>
      <c r="B73" s="122"/>
      <c r="C73" s="77" t="s">
        <v>72</v>
      </c>
      <c r="D73" s="78"/>
      <c r="E73" s="268"/>
      <c r="F73" s="112"/>
      <c r="G73" s="106"/>
      <c r="H73" s="112"/>
      <c r="I73" s="106"/>
      <c r="J73" s="112"/>
      <c r="K73" s="106"/>
      <c r="L73" s="106"/>
      <c r="M73" s="106"/>
      <c r="N73" s="106"/>
      <c r="O73" s="460"/>
      <c r="P73" s="464"/>
      <c r="Q73" s="112"/>
      <c r="R73" s="106"/>
      <c r="S73" s="106"/>
      <c r="T73" s="106"/>
      <c r="U73" s="106"/>
      <c r="V73" s="268"/>
      <c r="W73" s="106"/>
      <c r="X73" s="128">
        <f>X74/X25*1000</f>
        <v>20</v>
      </c>
      <c r="Y73" s="125"/>
      <c r="Z73" s="123"/>
      <c r="AA73" s="7"/>
      <c r="AB73" s="228"/>
      <c r="AC73" s="7"/>
      <c r="AD73" s="7"/>
      <c r="AE73" s="7"/>
      <c r="AF73" s="7"/>
    </row>
    <row r="74" spans="1:32" ht="18" customHeight="1" thickBot="1">
      <c r="A74" s="346" t="s">
        <v>84</v>
      </c>
      <c r="B74" s="347">
        <v>61.3</v>
      </c>
      <c r="C74" s="348" t="s">
        <v>73</v>
      </c>
      <c r="D74" s="387"/>
      <c r="E74" s="353"/>
      <c r="F74" s="338"/>
      <c r="G74" s="337"/>
      <c r="H74" s="338"/>
      <c r="I74" s="337"/>
      <c r="J74" s="338"/>
      <c r="K74" s="337"/>
      <c r="L74" s="337"/>
      <c r="M74" s="337"/>
      <c r="N74" s="337"/>
      <c r="O74" s="459"/>
      <c r="P74" s="463"/>
      <c r="Q74" s="338"/>
      <c r="R74" s="337"/>
      <c r="S74" s="337"/>
      <c r="T74" s="337"/>
      <c r="U74" s="337"/>
      <c r="V74" s="353"/>
      <c r="W74" s="337"/>
      <c r="X74" s="342">
        <v>2</v>
      </c>
      <c r="Y74" s="343">
        <f>ROUND(E74+G74+I74+K74+L74+M74+N74+P74+R74+S74+T74+U74+V74+W74+X74,2)</f>
        <v>2</v>
      </c>
      <c r="Z74" s="344">
        <f>Y74*B74</f>
        <v>122.6</v>
      </c>
      <c r="AA74" s="7"/>
      <c r="AB74" s="223">
        <f>Y74+Y173</f>
        <v>3</v>
      </c>
      <c r="AC74" s="7" t="str">
        <f>A74</f>
        <v xml:space="preserve">Хлеб  йод. пш. </v>
      </c>
      <c r="AD74" s="7"/>
      <c r="AE74" s="7"/>
      <c r="AF74" s="7"/>
    </row>
    <row r="75" spans="1:32" ht="18" customHeight="1" thickTop="1">
      <c r="A75" s="133"/>
      <c r="B75" s="122"/>
      <c r="C75" s="77" t="s">
        <v>72</v>
      </c>
      <c r="D75" s="78"/>
      <c r="E75" s="268"/>
      <c r="F75" s="90"/>
      <c r="G75" s="129"/>
      <c r="H75" s="112"/>
      <c r="I75" s="179"/>
      <c r="J75" s="112"/>
      <c r="K75" s="106"/>
      <c r="L75" s="106"/>
      <c r="M75" s="106"/>
      <c r="N75" s="106"/>
      <c r="O75" s="460"/>
      <c r="P75" s="464"/>
      <c r="Q75" s="112"/>
      <c r="R75" s="106"/>
      <c r="S75" s="106"/>
      <c r="T75" s="106"/>
      <c r="U75" s="106"/>
      <c r="V75" s="268"/>
      <c r="W75" s="127">
        <v>3</v>
      </c>
      <c r="X75" s="127"/>
      <c r="Y75" s="125"/>
      <c r="Z75" s="123"/>
      <c r="AA75" s="7"/>
      <c r="AB75" s="224"/>
      <c r="AC75" s="7"/>
      <c r="AD75" s="7"/>
      <c r="AE75" s="7"/>
      <c r="AF75" s="7"/>
    </row>
    <row r="76" spans="1:32" ht="18" customHeight="1" thickBot="1">
      <c r="A76" s="346" t="s">
        <v>216</v>
      </c>
      <c r="B76" s="347">
        <v>550</v>
      </c>
      <c r="C76" s="348" t="s">
        <v>73</v>
      </c>
      <c r="D76" s="385"/>
      <c r="E76" s="353"/>
      <c r="F76" s="363"/>
      <c r="G76" s="350"/>
      <c r="H76" s="338"/>
      <c r="I76" s="340"/>
      <c r="J76" s="338"/>
      <c r="K76" s="337"/>
      <c r="L76" s="337"/>
      <c r="M76" s="337"/>
      <c r="N76" s="337"/>
      <c r="O76" s="372"/>
      <c r="P76" s="463"/>
      <c r="Q76" s="338"/>
      <c r="R76" s="388"/>
      <c r="S76" s="337"/>
      <c r="T76" s="337"/>
      <c r="U76" s="337"/>
      <c r="V76" s="353"/>
      <c r="W76" s="339">
        <f>W75*B25/1000</f>
        <v>0.3</v>
      </c>
      <c r="X76" s="337"/>
      <c r="Y76" s="343">
        <f>ROUND(E76+G76+I76+K76+L76+M76+N76+O76+P76+R76+S76+T76+U76+V76+W76+X76,2)</f>
        <v>0.3</v>
      </c>
      <c r="Z76" s="344">
        <f>Y76*B76</f>
        <v>165</v>
      </c>
      <c r="AA76" s="7"/>
      <c r="AB76" s="225">
        <f>Y76+Y175</f>
        <v>0.5</v>
      </c>
      <c r="AC76" s="7" t="str">
        <f>A76</f>
        <v>Кофейн.напит.</v>
      </c>
      <c r="AD76" s="7"/>
      <c r="AE76" s="7"/>
      <c r="AF76" s="7"/>
    </row>
    <row r="77" spans="1:32" ht="12.75" customHeight="1" thickTop="1">
      <c r="A77" s="133"/>
      <c r="B77" s="122"/>
      <c r="C77" s="77" t="s">
        <v>72</v>
      </c>
      <c r="D77" s="287"/>
      <c r="E77" s="268"/>
      <c r="F77" s="112"/>
      <c r="G77" s="106"/>
      <c r="H77" s="112">
        <v>0.5</v>
      </c>
      <c r="I77" s="128">
        <f>H77/H26*I26</f>
        <v>0.5</v>
      </c>
      <c r="J77" s="112"/>
      <c r="K77" s="106"/>
      <c r="L77" s="106"/>
      <c r="M77" s="106"/>
      <c r="N77" s="106"/>
      <c r="O77" s="460"/>
      <c r="P77" s="464"/>
      <c r="Q77" s="112"/>
      <c r="R77" s="106"/>
      <c r="S77" s="106"/>
      <c r="T77" s="106"/>
      <c r="U77" s="106"/>
      <c r="V77" s="268"/>
      <c r="W77" s="127"/>
      <c r="X77" s="106"/>
      <c r="Y77" s="125"/>
      <c r="Z77" s="123"/>
      <c r="AA77" s="7"/>
      <c r="AB77" s="224"/>
      <c r="AC77" s="7"/>
      <c r="AD77" s="7"/>
      <c r="AE77" s="7"/>
      <c r="AF77" s="7"/>
    </row>
    <row r="78" spans="1:32" ht="18" customHeight="1" thickBot="1">
      <c r="A78" s="346" t="s">
        <v>29</v>
      </c>
      <c r="B78" s="347">
        <v>500</v>
      </c>
      <c r="C78" s="348" t="s">
        <v>73</v>
      </c>
      <c r="D78" s="385"/>
      <c r="E78" s="353"/>
      <c r="F78" s="338"/>
      <c r="G78" s="337"/>
      <c r="H78" s="338">
        <f>H77*F25/1000</f>
        <v>0.05</v>
      </c>
      <c r="I78" s="357">
        <f>H78</f>
        <v>0.05</v>
      </c>
      <c r="J78" s="338"/>
      <c r="K78" s="337"/>
      <c r="L78" s="337"/>
      <c r="M78" s="337"/>
      <c r="N78" s="337"/>
      <c r="O78" s="459"/>
      <c r="P78" s="463"/>
      <c r="Q78" s="338"/>
      <c r="R78" s="337"/>
      <c r="S78" s="337"/>
      <c r="T78" s="337"/>
      <c r="U78" s="337"/>
      <c r="V78" s="353"/>
      <c r="W78" s="355"/>
      <c r="X78" s="337"/>
      <c r="Y78" s="356">
        <f>ROUND(E78+G78+I78+K78+L78+M78+N78+P78+R78+S78+T78+U78+V78+W78+X78,3)</f>
        <v>0.05</v>
      </c>
      <c r="Z78" s="344">
        <f>Y78*B78</f>
        <v>25</v>
      </c>
      <c r="AA78" s="7"/>
      <c r="AB78" s="225">
        <f>Y78+Y177</f>
        <v>0.08</v>
      </c>
      <c r="AC78" s="7" t="str">
        <f>A78</f>
        <v>Чай</v>
      </c>
      <c r="AD78" s="7"/>
      <c r="AE78" s="7"/>
      <c r="AF78" s="7"/>
    </row>
    <row r="79" spans="1:32" ht="12" customHeight="1" thickTop="1">
      <c r="A79" s="133"/>
      <c r="B79" s="122"/>
      <c r="C79" s="77" t="s">
        <v>72</v>
      </c>
      <c r="D79" s="287"/>
      <c r="E79" s="268"/>
      <c r="F79" s="112"/>
      <c r="G79" s="106"/>
      <c r="H79" s="112"/>
      <c r="I79" s="106"/>
      <c r="J79" s="112"/>
      <c r="K79" s="106"/>
      <c r="L79" s="114"/>
      <c r="M79" s="106"/>
      <c r="N79" s="127"/>
      <c r="O79" s="460"/>
      <c r="P79" s="464"/>
      <c r="Q79" s="112"/>
      <c r="R79" s="106"/>
      <c r="S79" s="127">
        <v>0.18</v>
      </c>
      <c r="T79" s="106"/>
      <c r="U79" s="106"/>
      <c r="V79" s="129"/>
      <c r="W79" s="127"/>
      <c r="X79" s="106"/>
      <c r="Y79" s="125"/>
      <c r="Z79" s="123"/>
      <c r="AA79" s="7"/>
      <c r="AB79" s="224"/>
      <c r="AC79" s="7"/>
      <c r="AD79" s="7"/>
      <c r="AE79" s="7"/>
      <c r="AF79" s="7"/>
    </row>
    <row r="80" spans="1:32" ht="18" customHeight="1" thickBot="1">
      <c r="A80" s="346" t="s">
        <v>75</v>
      </c>
      <c r="B80" s="347">
        <v>900</v>
      </c>
      <c r="C80" s="348" t="s">
        <v>73</v>
      </c>
      <c r="D80" s="385"/>
      <c r="E80" s="353"/>
      <c r="F80" s="338"/>
      <c r="G80" s="337"/>
      <c r="H80" s="338"/>
      <c r="I80" s="337"/>
      <c r="J80" s="338"/>
      <c r="K80" s="337"/>
      <c r="L80" s="342"/>
      <c r="M80" s="337"/>
      <c r="N80" s="340"/>
      <c r="O80" s="459"/>
      <c r="P80" s="463"/>
      <c r="Q80" s="338"/>
      <c r="R80" s="337"/>
      <c r="S80" s="357">
        <f>S79*B25/1000</f>
        <v>1.7999999999999999E-2</v>
      </c>
      <c r="T80" s="337"/>
      <c r="U80" s="337"/>
      <c r="V80" s="367"/>
      <c r="W80" s="342"/>
      <c r="X80" s="337"/>
      <c r="Y80" s="356">
        <f>ROUND(E80+G80+I80+K80+L80+M80+N80+P80+R80+S80+T80+U80+V80+W80+X80,3)</f>
        <v>1.7999999999999999E-2</v>
      </c>
      <c r="Z80" s="344">
        <f>Y80*B80</f>
        <v>16.2</v>
      </c>
      <c r="AA80" s="7"/>
      <c r="AB80" s="223">
        <f>Y80+Y179</f>
        <v>3.3000000000000002E-2</v>
      </c>
      <c r="AC80" s="7" t="str">
        <f>A80</f>
        <v>Лимонная к-та</v>
      </c>
      <c r="AD80" s="7"/>
      <c r="AE80" s="7"/>
      <c r="AF80" s="7"/>
    </row>
    <row r="81" spans="1:32" ht="13.5" customHeight="1" thickTop="1">
      <c r="A81" s="133"/>
      <c r="B81" s="122"/>
      <c r="C81" s="77" t="s">
        <v>72</v>
      </c>
      <c r="D81" s="287"/>
      <c r="E81" s="268"/>
      <c r="F81" s="112"/>
      <c r="G81" s="106"/>
      <c r="H81" s="112"/>
      <c r="I81" s="106"/>
      <c r="J81" s="112"/>
      <c r="K81" s="106"/>
      <c r="L81" s="106"/>
      <c r="M81" s="128"/>
      <c r="N81" s="127"/>
      <c r="O81" s="403"/>
      <c r="P81" s="464"/>
      <c r="Q81" s="112"/>
      <c r="R81" s="178"/>
      <c r="S81" s="106"/>
      <c r="T81" s="106"/>
      <c r="U81" s="127">
        <v>11.4</v>
      </c>
      <c r="V81" s="268"/>
      <c r="W81" s="106"/>
      <c r="X81" s="106"/>
      <c r="Y81" s="125"/>
      <c r="Z81" s="123"/>
      <c r="AA81" s="7"/>
      <c r="AB81" s="224"/>
      <c r="AC81" s="7"/>
      <c r="AD81" s="7"/>
      <c r="AE81" s="7"/>
      <c r="AF81" s="7"/>
    </row>
    <row r="82" spans="1:32" ht="18" customHeight="1" thickBot="1">
      <c r="A82" s="346" t="s">
        <v>217</v>
      </c>
      <c r="B82" s="347">
        <v>85</v>
      </c>
      <c r="C82" s="348" t="s">
        <v>73</v>
      </c>
      <c r="D82" s="385"/>
      <c r="E82" s="353"/>
      <c r="F82" s="338"/>
      <c r="G82" s="337"/>
      <c r="H82" s="338"/>
      <c r="I82" s="337"/>
      <c r="J82" s="338"/>
      <c r="K82" s="337"/>
      <c r="L82" s="337"/>
      <c r="M82" s="339"/>
      <c r="N82" s="339"/>
      <c r="O82" s="420"/>
      <c r="P82" s="378">
        <f>P81*B25/1000</f>
        <v>0</v>
      </c>
      <c r="Q82" s="349"/>
      <c r="R82" s="340"/>
      <c r="S82" s="337"/>
      <c r="T82" s="337"/>
      <c r="U82" s="341">
        <f>U81*U25/1000</f>
        <v>1.1399999999999999</v>
      </c>
      <c r="V82" s="353"/>
      <c r="W82" s="337"/>
      <c r="X82" s="337"/>
      <c r="Y82" s="343">
        <f>ROUND(E82+G82+I82+K82+L82+M82+N82+P82+R82+S82+T82+U82+V82+W82+X82,2)</f>
        <v>1.1399999999999999</v>
      </c>
      <c r="Z82" s="344">
        <f>Y82*B82</f>
        <v>96.899999999999991</v>
      </c>
      <c r="AA82" s="7"/>
      <c r="AB82" s="223">
        <f>Y82+Y181</f>
        <v>1.1399999999999999</v>
      </c>
      <c r="AC82" s="7" t="str">
        <f>A82</f>
        <v>Огурцы  конс.</v>
      </c>
      <c r="AD82" s="7"/>
      <c r="AE82" s="7"/>
      <c r="AF82" s="7"/>
    </row>
    <row r="83" spans="1:32" ht="12.75" customHeight="1" thickTop="1">
      <c r="A83" s="133"/>
      <c r="B83" s="122"/>
      <c r="C83" s="77" t="s">
        <v>72</v>
      </c>
      <c r="D83" s="287"/>
      <c r="E83" s="271"/>
      <c r="F83" s="112"/>
      <c r="G83" s="105"/>
      <c r="H83" s="112"/>
      <c r="I83" s="105"/>
      <c r="J83" s="112"/>
      <c r="K83" s="105"/>
      <c r="L83" s="105"/>
      <c r="M83" s="105"/>
      <c r="N83" s="105"/>
      <c r="O83" s="461"/>
      <c r="P83" s="499"/>
      <c r="Q83" s="112"/>
      <c r="R83" s="179"/>
      <c r="S83" s="127"/>
      <c r="T83" s="105"/>
      <c r="U83" s="250">
        <v>13.6</v>
      </c>
      <c r="V83" s="271"/>
      <c r="W83" s="105"/>
      <c r="X83" s="105"/>
      <c r="Y83" s="125"/>
      <c r="Z83" s="123"/>
      <c r="AA83" s="7"/>
      <c r="AB83" s="224"/>
      <c r="AC83" s="7"/>
      <c r="AD83" s="7"/>
      <c r="AE83" s="7"/>
      <c r="AF83" s="7"/>
    </row>
    <row r="84" spans="1:32" ht="18" customHeight="1" thickBot="1">
      <c r="A84" s="346" t="s">
        <v>87</v>
      </c>
      <c r="B84" s="347">
        <v>28</v>
      </c>
      <c r="C84" s="348" t="s">
        <v>73</v>
      </c>
      <c r="D84" s="385"/>
      <c r="E84" s="353"/>
      <c r="F84" s="338"/>
      <c r="G84" s="337"/>
      <c r="H84" s="338"/>
      <c r="I84" s="337"/>
      <c r="J84" s="338"/>
      <c r="K84" s="337"/>
      <c r="L84" s="337"/>
      <c r="M84" s="337"/>
      <c r="N84" s="337"/>
      <c r="O84" s="459"/>
      <c r="P84" s="350">
        <f>P83*B25/1000</f>
        <v>0</v>
      </c>
      <c r="Q84" s="338"/>
      <c r="R84" s="340"/>
      <c r="S84" s="339"/>
      <c r="T84" s="337"/>
      <c r="U84" s="339">
        <f>U83*B25/1000</f>
        <v>1.36</v>
      </c>
      <c r="V84" s="353"/>
      <c r="W84" s="337"/>
      <c r="X84" s="337"/>
      <c r="Y84" s="343">
        <f>ROUND(E84+G84+I84+K84+L84+M84+N84+P84+R84+S84+T84+U84+V84+W84+X84,2)</f>
        <v>1.36</v>
      </c>
      <c r="Z84" s="344">
        <f>Y84*B84</f>
        <v>38.080000000000005</v>
      </c>
      <c r="AA84" s="7"/>
      <c r="AB84" s="223">
        <f>Y84+Y183</f>
        <v>2.1800000000000002</v>
      </c>
      <c r="AC84" s="7" t="str">
        <f>A84</f>
        <v>Свекла стол.</v>
      </c>
      <c r="AD84" s="7"/>
      <c r="AE84" s="7"/>
      <c r="AF84" s="7"/>
    </row>
    <row r="85" spans="1:32" ht="15.75" customHeight="1" thickTop="1">
      <c r="A85" s="133"/>
      <c r="B85" s="122"/>
      <c r="C85" s="77" t="s">
        <v>72</v>
      </c>
      <c r="D85" s="489">
        <v>10.6</v>
      </c>
      <c r="E85" s="184">
        <f>D85/D26*E26</f>
        <v>10.6</v>
      </c>
      <c r="F85" s="112"/>
      <c r="G85" s="106"/>
      <c r="H85" s="112"/>
      <c r="I85" s="106"/>
      <c r="J85" s="112"/>
      <c r="K85" s="179"/>
      <c r="L85" s="106"/>
      <c r="M85" s="106"/>
      <c r="N85" s="106"/>
      <c r="O85" s="460"/>
      <c r="P85" s="464"/>
      <c r="Q85" s="177"/>
      <c r="R85" s="182"/>
      <c r="S85" s="106"/>
      <c r="T85" s="106"/>
      <c r="U85" s="106"/>
      <c r="V85" s="268"/>
      <c r="W85" s="106"/>
      <c r="X85" s="970"/>
      <c r="Y85" s="125"/>
      <c r="Z85" s="123"/>
      <c r="AA85" s="7"/>
      <c r="AB85" s="224"/>
      <c r="AC85" s="7"/>
      <c r="AD85" s="7"/>
      <c r="AE85" s="7"/>
      <c r="AF85" s="7"/>
    </row>
    <row r="86" spans="1:32" ht="18" customHeight="1" thickBot="1">
      <c r="A86" s="346" t="s">
        <v>107</v>
      </c>
      <c r="B86" s="347">
        <v>540</v>
      </c>
      <c r="C86" s="348" t="s">
        <v>73</v>
      </c>
      <c r="D86" s="490">
        <f>D85*F25/1000</f>
        <v>1.06</v>
      </c>
      <c r="E86" s="341">
        <f>D86</f>
        <v>1.06</v>
      </c>
      <c r="F86" s="338"/>
      <c r="G86" s="337"/>
      <c r="H86" s="338"/>
      <c r="I86" s="337"/>
      <c r="J86" s="338"/>
      <c r="K86" s="339"/>
      <c r="L86" s="337"/>
      <c r="M86" s="337"/>
      <c r="N86" s="337"/>
      <c r="O86" s="459"/>
      <c r="P86" s="463"/>
      <c r="Q86" s="349"/>
      <c r="R86" s="340"/>
      <c r="S86" s="337"/>
      <c r="T86" s="337"/>
      <c r="U86" s="337"/>
      <c r="V86" s="353"/>
      <c r="W86" s="337"/>
      <c r="X86" s="372"/>
      <c r="Y86" s="343">
        <f>ROUND(E86+G86+I86+K86+L86+M86+N86+P86+R86+S86+T86+U86+V86+W86+X86,2)</f>
        <v>1.06</v>
      </c>
      <c r="Z86" s="344">
        <f>Y86*B86</f>
        <v>572.4</v>
      </c>
      <c r="AA86" s="7"/>
      <c r="AB86" s="223">
        <f>Y86+Y185</f>
        <v>2.12</v>
      </c>
      <c r="AC86" s="960" t="str">
        <f>A86</f>
        <v>Сыр</v>
      </c>
      <c r="AD86" s="7"/>
      <c r="AE86" s="7"/>
      <c r="AF86" s="7"/>
    </row>
    <row r="87" spans="1:32" ht="15" customHeight="1" thickTop="1">
      <c r="A87" s="133"/>
      <c r="B87" s="122"/>
      <c r="C87" s="77" t="s">
        <v>72</v>
      </c>
      <c r="D87" s="306"/>
      <c r="E87" s="129"/>
      <c r="F87" s="112"/>
      <c r="G87" s="106"/>
      <c r="H87" s="112"/>
      <c r="I87" s="106"/>
      <c r="J87" s="112"/>
      <c r="K87" s="106"/>
      <c r="L87" s="106"/>
      <c r="M87" s="127"/>
      <c r="N87" s="106"/>
      <c r="O87" s="460"/>
      <c r="P87" s="499"/>
      <c r="Q87" s="177">
        <f>1.5/100*Q26</f>
        <v>1.5</v>
      </c>
      <c r="R87" s="129">
        <f>Q87/Q26*R26</f>
        <v>1.5</v>
      </c>
      <c r="S87" s="106"/>
      <c r="T87" s="106"/>
      <c r="U87" s="247"/>
      <c r="V87" s="272"/>
      <c r="W87" s="106"/>
      <c r="X87" s="106"/>
      <c r="Y87" s="125"/>
      <c r="Z87" s="123"/>
      <c r="AA87" s="7"/>
      <c r="AB87" s="224"/>
      <c r="AC87" s="7"/>
      <c r="AD87" s="7"/>
      <c r="AE87" s="7"/>
      <c r="AF87" s="7"/>
    </row>
    <row r="88" spans="1:32" ht="18" customHeight="1" thickBot="1">
      <c r="A88" s="346" t="s">
        <v>104</v>
      </c>
      <c r="B88" s="347">
        <v>370</v>
      </c>
      <c r="C88" s="348" t="s">
        <v>73</v>
      </c>
      <c r="D88" s="385"/>
      <c r="E88" s="350"/>
      <c r="F88" s="338"/>
      <c r="G88" s="337"/>
      <c r="H88" s="338"/>
      <c r="I88" s="337"/>
      <c r="J88" s="338"/>
      <c r="K88" s="337"/>
      <c r="L88" s="337"/>
      <c r="M88" s="350"/>
      <c r="N88" s="337"/>
      <c r="O88" s="459"/>
      <c r="P88" s="350">
        <f>P87*B25/1000</f>
        <v>0</v>
      </c>
      <c r="Q88" s="349">
        <f>Q87*Q25/1000</f>
        <v>0.15</v>
      </c>
      <c r="R88" s="341">
        <f>ROUND(Q88,2)</f>
        <v>0.15</v>
      </c>
      <c r="S88" s="337"/>
      <c r="T88" s="337"/>
      <c r="U88" s="340"/>
      <c r="V88" s="350"/>
      <c r="W88" s="337"/>
      <c r="X88" s="337"/>
      <c r="Y88" s="343">
        <f>ROUND(E88+G88+I88+K88+L88+M88+N88+P88+R88+S88+T88+U88+V88+W88+X88,2)</f>
        <v>0.15</v>
      </c>
      <c r="Z88" s="344">
        <f>Y88*B88</f>
        <v>55.5</v>
      </c>
      <c r="AA88" s="7"/>
      <c r="AB88" s="223">
        <f>Y88+Y187</f>
        <v>0.15</v>
      </c>
      <c r="AC88" s="7" t="str">
        <f>A88</f>
        <v>Паста томатная</v>
      </c>
      <c r="AD88" s="7"/>
      <c r="AE88" s="7"/>
      <c r="AF88" s="7"/>
    </row>
    <row r="89" spans="1:32" ht="16.5" customHeight="1" thickTop="1">
      <c r="A89" s="133"/>
      <c r="B89" s="122"/>
      <c r="C89" s="77" t="s">
        <v>72</v>
      </c>
      <c r="D89" s="305"/>
      <c r="E89" s="268"/>
      <c r="F89" s="112">
        <v>0.8</v>
      </c>
      <c r="G89" s="179">
        <f>G90/B25*1000</f>
        <v>0.8</v>
      </c>
      <c r="H89" s="112"/>
      <c r="I89" s="106"/>
      <c r="J89" s="112"/>
      <c r="K89" s="106"/>
      <c r="L89" s="106"/>
      <c r="M89" s="127">
        <v>0.3</v>
      </c>
      <c r="N89" s="180"/>
      <c r="O89" s="127">
        <v>1.3</v>
      </c>
      <c r="P89" s="499"/>
      <c r="Q89" s="112">
        <v>0.6</v>
      </c>
      <c r="R89" s="179">
        <f>R90/B25*1000</f>
        <v>0.6</v>
      </c>
      <c r="S89" s="106"/>
      <c r="T89" s="106"/>
      <c r="U89" s="247">
        <v>0.1</v>
      </c>
      <c r="V89" s="247">
        <v>0.6</v>
      </c>
      <c r="W89" s="106"/>
      <c r="X89" s="106"/>
      <c r="Y89" s="125"/>
      <c r="Z89" s="123"/>
      <c r="AA89" s="7"/>
      <c r="AB89" s="224"/>
      <c r="AC89" s="7"/>
      <c r="AD89" s="7"/>
      <c r="AE89" s="7"/>
      <c r="AF89" s="7"/>
    </row>
    <row r="90" spans="1:32" ht="18" customHeight="1" thickBot="1">
      <c r="A90" s="346" t="s">
        <v>138</v>
      </c>
      <c r="B90" s="347">
        <v>28</v>
      </c>
      <c r="C90" s="348" t="s">
        <v>73</v>
      </c>
      <c r="D90" s="385"/>
      <c r="E90" s="353"/>
      <c r="F90" s="338">
        <f>F89*F25/1000</f>
        <v>0.08</v>
      </c>
      <c r="G90" s="339">
        <f>ROUND(F90,2)</f>
        <v>0.08</v>
      </c>
      <c r="H90" s="338"/>
      <c r="I90" s="337"/>
      <c r="J90" s="338"/>
      <c r="K90" s="337"/>
      <c r="L90" s="337"/>
      <c r="M90" s="339">
        <f>M89*B25/1000</f>
        <v>0.03</v>
      </c>
      <c r="N90" s="339"/>
      <c r="O90" s="339">
        <f>O89*B25/1000</f>
        <v>0.13</v>
      </c>
      <c r="P90" s="350">
        <f>P89*B25/1000</f>
        <v>0</v>
      </c>
      <c r="Q90" s="349">
        <f>Q89*Q25/1000</f>
        <v>0.06</v>
      </c>
      <c r="R90" s="339">
        <f>Q90</f>
        <v>0.06</v>
      </c>
      <c r="S90" s="337"/>
      <c r="T90" s="337"/>
      <c r="U90" s="339">
        <f>U89*E25/1000</f>
        <v>0.01</v>
      </c>
      <c r="V90" s="339">
        <f>V89*B25/1000</f>
        <v>0.06</v>
      </c>
      <c r="W90" s="337"/>
      <c r="X90" s="337"/>
      <c r="Y90" s="343">
        <f>ROUND(E90+G90+I90+K90+L90+M90+N90+O90+P90+R90+S90+T90+U90+V90+W90+X90,2)</f>
        <v>0.37</v>
      </c>
      <c r="Z90" s="344">
        <f>Y90*B90</f>
        <v>10.36</v>
      </c>
      <c r="AA90" s="7"/>
      <c r="AB90" s="223">
        <f>Y90+Y189</f>
        <v>0.7</v>
      </c>
      <c r="AC90" s="7" t="str">
        <f>A90</f>
        <v>Соль иодиров.</v>
      </c>
      <c r="AD90" s="7"/>
      <c r="AE90" s="7"/>
      <c r="AF90" s="7"/>
    </row>
    <row r="91" spans="1:32" ht="17.25" customHeight="1" thickTop="1">
      <c r="A91" s="133"/>
      <c r="B91" s="122"/>
      <c r="C91" s="77" t="s">
        <v>72</v>
      </c>
      <c r="D91" s="287"/>
      <c r="E91" s="268"/>
      <c r="F91" s="112"/>
      <c r="G91" s="106"/>
      <c r="H91" s="112"/>
      <c r="I91" s="106"/>
      <c r="J91" s="112"/>
      <c r="K91" s="106"/>
      <c r="L91" s="106"/>
      <c r="M91" s="106"/>
      <c r="N91" s="106"/>
      <c r="O91" s="460"/>
      <c r="P91" s="464"/>
      <c r="Q91" s="177"/>
      <c r="R91" s="182"/>
      <c r="S91" s="106"/>
      <c r="T91" s="106"/>
      <c r="U91" s="106"/>
      <c r="V91" s="127">
        <v>0.4</v>
      </c>
      <c r="W91" s="106"/>
      <c r="X91" s="106"/>
      <c r="Y91" s="125"/>
      <c r="Z91" s="123"/>
      <c r="AA91" s="7"/>
      <c r="AB91" s="224"/>
      <c r="AC91" s="7"/>
      <c r="AD91" s="7"/>
      <c r="AE91" s="7"/>
      <c r="AF91" s="7"/>
    </row>
    <row r="92" spans="1:32" ht="18" customHeight="1" thickBot="1">
      <c r="A92" s="346" t="s">
        <v>124</v>
      </c>
      <c r="B92" s="347">
        <v>950</v>
      </c>
      <c r="C92" s="348" t="s">
        <v>73</v>
      </c>
      <c r="D92" s="385"/>
      <c r="E92" s="353"/>
      <c r="F92" s="338"/>
      <c r="G92" s="337"/>
      <c r="H92" s="338"/>
      <c r="I92" s="337"/>
      <c r="J92" s="338"/>
      <c r="K92" s="337"/>
      <c r="L92" s="337"/>
      <c r="M92" s="337"/>
      <c r="N92" s="337"/>
      <c r="O92" s="459"/>
      <c r="P92" s="463"/>
      <c r="Q92" s="349"/>
      <c r="R92" s="340"/>
      <c r="S92" s="337"/>
      <c r="T92" s="337"/>
      <c r="U92" s="337"/>
      <c r="V92" s="814">
        <f>V91*B25/1000</f>
        <v>0.04</v>
      </c>
      <c r="W92" s="337"/>
      <c r="X92" s="337"/>
      <c r="Y92" s="356">
        <f>ROUND(E92+G92+I92+K92+L92+M92+N92+P92+R92+S92+T92+U92+V92+W92+X92,3)</f>
        <v>0.04</v>
      </c>
      <c r="Z92" s="344">
        <f>Y92*B92</f>
        <v>38</v>
      </c>
      <c r="AA92" s="7"/>
      <c r="AB92" s="961">
        <f t="shared" ref="AB92" si="1">Y92+Y191</f>
        <v>7.2000000000000008E-2</v>
      </c>
      <c r="AC92" s="7" t="str">
        <f>A92</f>
        <v>Дрожжи</v>
      </c>
      <c r="AD92" s="7"/>
      <c r="AE92" s="7"/>
      <c r="AF92" s="7"/>
    </row>
    <row r="93" spans="1:32" ht="16.5" customHeight="1" thickTop="1">
      <c r="A93" s="133"/>
      <c r="B93" s="122"/>
      <c r="C93" s="77" t="s">
        <v>72</v>
      </c>
      <c r="D93" s="287"/>
      <c r="E93" s="268"/>
      <c r="F93" s="112"/>
      <c r="G93" s="106"/>
      <c r="H93" s="112"/>
      <c r="I93" s="106"/>
      <c r="J93" s="112"/>
      <c r="K93" s="106"/>
      <c r="L93" s="106"/>
      <c r="M93" s="106"/>
      <c r="N93" s="127"/>
      <c r="O93" s="403"/>
      <c r="P93" s="464"/>
      <c r="Q93" s="112"/>
      <c r="R93" s="178"/>
      <c r="S93" s="127"/>
      <c r="T93" s="106"/>
      <c r="U93" s="127"/>
      <c r="V93" s="272">
        <v>2.7</v>
      </c>
      <c r="W93" s="106"/>
      <c r="X93" s="106"/>
      <c r="Y93" s="125"/>
      <c r="Z93" s="419"/>
      <c r="AA93" s="960"/>
      <c r="AB93" s="962"/>
      <c r="AC93" s="7"/>
      <c r="AD93" s="7"/>
      <c r="AE93" s="7"/>
      <c r="AF93" s="7"/>
    </row>
    <row r="94" spans="1:32" ht="18" customHeight="1" thickBot="1">
      <c r="A94" s="346" t="s">
        <v>302</v>
      </c>
      <c r="B94" s="347">
        <v>292</v>
      </c>
      <c r="C94" s="348" t="s">
        <v>73</v>
      </c>
      <c r="D94" s="385"/>
      <c r="E94" s="353"/>
      <c r="F94" s="338"/>
      <c r="G94" s="337"/>
      <c r="H94" s="338"/>
      <c r="I94" s="337"/>
      <c r="J94" s="338"/>
      <c r="K94" s="337"/>
      <c r="L94" s="337"/>
      <c r="M94" s="339"/>
      <c r="N94" s="340"/>
      <c r="O94" s="420"/>
      <c r="P94" s="378">
        <f>P93*B35/1000</f>
        <v>0</v>
      </c>
      <c r="Q94" s="349"/>
      <c r="R94" s="340"/>
      <c r="S94" s="355"/>
      <c r="T94" s="337"/>
      <c r="U94" s="350"/>
      <c r="V94" s="341">
        <f>V93*B25/1000</f>
        <v>0.27</v>
      </c>
      <c r="W94" s="337"/>
      <c r="X94" s="337"/>
      <c r="Y94" s="356">
        <f>ROUND(E94+G94+I94+K94+L94+M94+N94+P94+R94+S94+T94+U94+V94+W94+X94,3)</f>
        <v>0.27</v>
      </c>
      <c r="Z94" s="344">
        <f>Y94*B94</f>
        <v>78.84</v>
      </c>
      <c r="AA94" s="7"/>
      <c r="AB94" s="963">
        <f>Y94+Y193</f>
        <v>0.48499999999999999</v>
      </c>
      <c r="AC94" s="7" t="str">
        <f>A94</f>
        <v>Изюм</v>
      </c>
      <c r="AD94" s="7"/>
      <c r="AE94" s="7"/>
      <c r="AF94" s="7"/>
    </row>
    <row r="95" spans="1:32" ht="18" customHeight="1" thickTop="1">
      <c r="A95" s="133"/>
      <c r="B95" s="122"/>
      <c r="C95" s="77" t="s">
        <v>72</v>
      </c>
      <c r="D95" s="287"/>
      <c r="E95" s="268"/>
      <c r="F95" s="112"/>
      <c r="G95" s="106"/>
      <c r="H95" s="112"/>
      <c r="I95" s="106"/>
      <c r="J95" s="112"/>
      <c r="K95" s="106"/>
      <c r="L95" s="106"/>
      <c r="M95" s="106"/>
      <c r="N95" s="106"/>
      <c r="O95" s="106"/>
      <c r="P95" s="106"/>
      <c r="Q95" s="112"/>
      <c r="R95" s="106"/>
      <c r="S95" s="106"/>
      <c r="T95" s="106"/>
      <c r="U95" s="581"/>
      <c r="V95" s="268"/>
      <c r="W95" s="272"/>
      <c r="X95" s="106"/>
      <c r="Y95" s="125"/>
      <c r="Z95" s="126">
        <f>Z28+Z30+Z32+Z34+Z36+Z38+Z40+Z42+Z44+Z46+Z48+Z50+Z60+Z62+Z64+Z66+Z68+Z70+Z72+Z74+Z76+Z78+Z80+Z82+Z84+Z86+Z88+Z90+Z92+Z94</f>
        <v>12399.304399999999</v>
      </c>
      <c r="AA95" s="7"/>
      <c r="AB95" s="123"/>
      <c r="AC95" s="7"/>
      <c r="AD95" s="7"/>
      <c r="AE95" s="7"/>
      <c r="AF95" s="7"/>
    </row>
    <row r="96" spans="1:32" ht="7.5" customHeight="1"/>
    <row r="97" spans="1:27">
      <c r="A97" s="43" t="s">
        <v>311</v>
      </c>
      <c r="S97" s="43" t="s">
        <v>30</v>
      </c>
      <c r="Z97" s="118">
        <f>K13</f>
        <v>11000</v>
      </c>
    </row>
    <row r="98" spans="1:27" ht="9" customHeight="1">
      <c r="A98" s="43" t="s">
        <v>50</v>
      </c>
      <c r="S98" s="43" t="s">
        <v>31</v>
      </c>
    </row>
    <row r="99" spans="1:27" ht="16.5" customHeight="1">
      <c r="A99" s="43" t="s">
        <v>312</v>
      </c>
      <c r="S99" s="43" t="s">
        <v>314</v>
      </c>
    </row>
    <row r="100" spans="1:27" ht="9" customHeight="1">
      <c r="A100" s="43" t="s">
        <v>37</v>
      </c>
      <c r="S100" s="43" t="s">
        <v>31</v>
      </c>
    </row>
    <row r="101" spans="1:27" ht="8.25" customHeight="1">
      <c r="A101" s="3" t="s">
        <v>313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W101" s="10"/>
      <c r="X101" s="10"/>
      <c r="Y101" s="11"/>
      <c r="Z101" s="11"/>
    </row>
    <row r="102" spans="1:27" ht="18">
      <c r="A102" s="9" t="s">
        <v>2</v>
      </c>
      <c r="B102" s="8"/>
      <c r="C102" s="8"/>
      <c r="D102" s="8"/>
      <c r="E102" s="8"/>
      <c r="F102" s="11"/>
      <c r="G102" s="8"/>
      <c r="H102" s="8"/>
      <c r="I102" s="8"/>
      <c r="J102" s="8"/>
      <c r="K102" s="8"/>
      <c r="L102" s="8"/>
      <c r="M102" s="8"/>
      <c r="N102" s="8"/>
      <c r="O102" s="1060" t="s">
        <v>80</v>
      </c>
      <c r="P102" s="1061"/>
      <c r="Q102" s="1061"/>
      <c r="R102" s="1061"/>
      <c r="S102" s="1061"/>
      <c r="T102" s="1061"/>
      <c r="U102" s="1061"/>
      <c r="V102" s="1061"/>
      <c r="W102" s="1061"/>
      <c r="X102" s="1061"/>
      <c r="Y102" s="1061"/>
      <c r="Z102" s="1061"/>
    </row>
    <row r="103" spans="1:27" ht="18.75">
      <c r="A103" s="757" t="str">
        <f>A4</f>
        <v>"08"   января  2024  г.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"/>
    </row>
    <row r="104" spans="1:27" ht="2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3"/>
      <c r="N104" s="2"/>
      <c r="O104" s="3"/>
      <c r="P104" s="2"/>
      <c r="Q104" s="2"/>
      <c r="R104" s="2"/>
      <c r="S104" s="2"/>
      <c r="T104" s="1"/>
      <c r="U104" s="7"/>
      <c r="V104" s="7"/>
      <c r="W104" s="7"/>
      <c r="X104" s="7"/>
    </row>
    <row r="105" spans="1:27" ht="13.5" thickBot="1">
      <c r="A105" s="1048" t="s">
        <v>42</v>
      </c>
      <c r="B105" s="1048"/>
      <c r="C105" s="1048"/>
      <c r="D105" s="729"/>
      <c r="E105" s="1047" t="s">
        <v>35</v>
      </c>
      <c r="F105" s="1048"/>
      <c r="G105" s="1049"/>
      <c r="H105" s="1047" t="s">
        <v>60</v>
      </c>
      <c r="I105" s="1048"/>
      <c r="J105" s="1049"/>
      <c r="K105" s="1047" t="s">
        <v>58</v>
      </c>
      <c r="L105" s="1048"/>
      <c r="M105" s="1048"/>
      <c r="N105" s="1049"/>
      <c r="O105" s="31"/>
      <c r="P105" s="21"/>
      <c r="Q105" s="31"/>
      <c r="R105" s="21"/>
      <c r="S105" s="3"/>
      <c r="T105" s="7"/>
      <c r="U105" s="7"/>
      <c r="V105" s="7"/>
      <c r="W105" s="7"/>
      <c r="X105" s="7"/>
      <c r="Y105" s="7"/>
      <c r="Z105" s="1088" t="s">
        <v>0</v>
      </c>
      <c r="AA105" s="1089"/>
    </row>
    <row r="106" spans="1:27" ht="9" customHeight="1">
      <c r="A106" s="1059" t="s">
        <v>43</v>
      </c>
      <c r="B106" s="1059"/>
      <c r="C106" s="1059"/>
      <c r="D106" s="726"/>
      <c r="E106" s="1065" t="s">
        <v>34</v>
      </c>
      <c r="F106" s="1066"/>
      <c r="G106" s="1067"/>
      <c r="H106" s="1065" t="s">
        <v>12</v>
      </c>
      <c r="I106" s="1066"/>
      <c r="J106" s="1067"/>
      <c r="K106" s="1065" t="s">
        <v>15</v>
      </c>
      <c r="L106" s="1066"/>
      <c r="M106" s="1066"/>
      <c r="N106" s="1067"/>
      <c r="O106" s="1065" t="s">
        <v>14</v>
      </c>
      <c r="P106" s="1067"/>
      <c r="Q106" s="1065" t="s">
        <v>55</v>
      </c>
      <c r="R106" s="1067"/>
      <c r="S106" s="1106" t="str">
        <f>S7</f>
        <v>на "09" января  2024 г</v>
      </c>
      <c r="T106" s="1106"/>
      <c r="U106" s="1106"/>
      <c r="V106" s="1106"/>
      <c r="W106" s="1106"/>
      <c r="X106" s="1050" t="s">
        <v>190</v>
      </c>
      <c r="Y106" s="1051"/>
      <c r="Z106" s="1090" t="s">
        <v>23</v>
      </c>
      <c r="AA106" s="1091"/>
    </row>
    <row r="107" spans="1:27" ht="13.5" customHeight="1" thickBot="1">
      <c r="A107" s="730" t="s">
        <v>44</v>
      </c>
      <c r="B107" s="1047" t="s">
        <v>46</v>
      </c>
      <c r="C107" s="1048"/>
      <c r="D107" s="726"/>
      <c r="E107" s="1065" t="s">
        <v>39</v>
      </c>
      <c r="F107" s="1066"/>
      <c r="G107" s="1067"/>
      <c r="H107" s="1065" t="s">
        <v>49</v>
      </c>
      <c r="I107" s="1066"/>
      <c r="J107" s="1067"/>
      <c r="K107" s="1065" t="s">
        <v>59</v>
      </c>
      <c r="L107" s="1066"/>
      <c r="M107" s="1066"/>
      <c r="N107" s="1067"/>
      <c r="O107" s="1065" t="s">
        <v>40</v>
      </c>
      <c r="P107" s="1067"/>
      <c r="Q107" s="1065" t="s">
        <v>56</v>
      </c>
      <c r="R107" s="1067"/>
      <c r="S107" s="1106"/>
      <c r="T107" s="1106"/>
      <c r="U107" s="1106"/>
      <c r="V107" s="1106"/>
      <c r="W107" s="1106"/>
      <c r="Z107" s="53"/>
      <c r="AA107" s="56"/>
    </row>
    <row r="108" spans="1:27" ht="13.5" thickBot="1">
      <c r="A108" s="727" t="s">
        <v>45</v>
      </c>
      <c r="B108" s="1065" t="s">
        <v>47</v>
      </c>
      <c r="C108" s="1066"/>
      <c r="D108" s="725"/>
      <c r="E108" s="1065" t="s">
        <v>38</v>
      </c>
      <c r="F108" s="1066"/>
      <c r="G108" s="1067"/>
      <c r="H108" s="1065" t="s">
        <v>13</v>
      </c>
      <c r="I108" s="1066"/>
      <c r="J108" s="1067"/>
      <c r="K108" s="1065" t="s">
        <v>38</v>
      </c>
      <c r="L108" s="1066"/>
      <c r="M108" s="1066"/>
      <c r="N108" s="1067"/>
      <c r="O108" s="25"/>
      <c r="P108" s="3"/>
      <c r="Q108" s="1065" t="s">
        <v>57</v>
      </c>
      <c r="R108" s="1067"/>
      <c r="S108" s="3" t="s">
        <v>194</v>
      </c>
      <c r="T108" s="548"/>
      <c r="U108" s="548"/>
      <c r="V108" s="120"/>
      <c r="W108" s="120"/>
      <c r="X108" s="120"/>
      <c r="Y108" s="746" t="s">
        <v>191</v>
      </c>
      <c r="Z108" s="701"/>
      <c r="AA108" s="708"/>
    </row>
    <row r="109" spans="1:27" ht="4.5" customHeight="1">
      <c r="A109" s="17"/>
      <c r="B109" s="1058" t="s">
        <v>48</v>
      </c>
      <c r="C109" s="1059"/>
      <c r="D109" s="726"/>
      <c r="E109" s="723"/>
      <c r="F109" s="3"/>
      <c r="G109" s="30"/>
      <c r="H109" s="3"/>
      <c r="I109" s="3"/>
      <c r="J109" s="30"/>
      <c r="K109" s="1058"/>
      <c r="L109" s="1059"/>
      <c r="M109" s="1059"/>
      <c r="N109" s="1073"/>
      <c r="O109" s="25"/>
      <c r="P109" s="3"/>
      <c r="Q109" s="25"/>
      <c r="R109" s="17"/>
      <c r="T109" s="709" t="s">
        <v>96</v>
      </c>
      <c r="Y109" s="32"/>
      <c r="Z109" s="702"/>
      <c r="AA109" s="703"/>
    </row>
    <row r="110" spans="1:27" ht="13.5" customHeight="1" thickBot="1">
      <c r="A110" s="58">
        <v>1</v>
      </c>
      <c r="B110" s="62"/>
      <c r="C110" s="63">
        <v>2</v>
      </c>
      <c r="D110" s="292"/>
      <c r="E110" s="731"/>
      <c r="F110" s="731">
        <v>3</v>
      </c>
      <c r="G110" s="733"/>
      <c r="H110" s="731"/>
      <c r="I110" s="731">
        <v>4</v>
      </c>
      <c r="J110" s="733"/>
      <c r="K110" s="731"/>
      <c r="L110" s="731"/>
      <c r="M110" s="731"/>
      <c r="N110" s="731">
        <v>5</v>
      </c>
      <c r="O110" s="732"/>
      <c r="P110" s="731"/>
      <c r="Q110" s="1104">
        <v>7</v>
      </c>
      <c r="R110" s="1105"/>
      <c r="S110" s="1074" t="s">
        <v>195</v>
      </c>
      <c r="T110" s="1074"/>
      <c r="U110" s="1074"/>
      <c r="V110" s="1074"/>
      <c r="W110" s="1074"/>
      <c r="X110" s="1074"/>
      <c r="Y110" s="699" t="s">
        <v>199</v>
      </c>
      <c r="Z110" s="705"/>
      <c r="AA110" s="704"/>
    </row>
    <row r="111" spans="1:27">
      <c r="A111" s="37"/>
      <c r="B111" s="38"/>
      <c r="C111" s="38"/>
      <c r="D111" s="38"/>
      <c r="E111" s="38"/>
      <c r="F111" s="38"/>
      <c r="G111" s="39"/>
      <c r="H111" s="38"/>
      <c r="I111" s="38"/>
      <c r="J111" s="39"/>
      <c r="K111" s="38"/>
      <c r="L111" s="38"/>
      <c r="M111" s="38"/>
      <c r="N111" s="38"/>
      <c r="O111" s="40"/>
      <c r="P111" s="39"/>
      <c r="Q111" s="41"/>
      <c r="R111" s="42"/>
      <c r="S111" s="1074"/>
      <c r="T111" s="1074"/>
      <c r="U111" s="1074"/>
      <c r="V111" s="1074"/>
      <c r="W111" s="1074"/>
      <c r="X111" s="1074"/>
      <c r="Y111" s="56"/>
      <c r="Z111" s="32"/>
      <c r="AA111" s="707"/>
    </row>
    <row r="112" spans="1:27" ht="16.5" thickBot="1">
      <c r="A112" s="780" t="s">
        <v>201</v>
      </c>
      <c r="B112" s="28"/>
      <c r="C112" s="28"/>
      <c r="D112" s="28"/>
      <c r="E112" s="28"/>
      <c r="F112" s="28"/>
      <c r="G112" s="855">
        <f>G13</f>
        <v>110</v>
      </c>
      <c r="H112" s="28"/>
      <c r="I112" s="140">
        <f>B124</f>
        <v>100</v>
      </c>
      <c r="J112" s="50"/>
      <c r="K112" s="1075">
        <f>G112*I112</f>
        <v>11000</v>
      </c>
      <c r="L112" s="1076"/>
      <c r="M112" s="1076"/>
      <c r="N112" s="1077"/>
      <c r="O112" s="1068">
        <f>Z194/B124</f>
        <v>105.97349199999996</v>
      </c>
      <c r="P112" s="1069"/>
      <c r="Q112" s="815"/>
      <c r="R112" s="816"/>
      <c r="S112" s="3"/>
      <c r="T112" s="710" t="str">
        <f>T13</f>
        <v>"Детский сад № 31 г. Ельца"</v>
      </c>
      <c r="U112" s="2"/>
      <c r="V112" s="538"/>
      <c r="W112" s="7"/>
      <c r="X112" s="7"/>
      <c r="Y112" s="699"/>
      <c r="Z112" s="7"/>
      <c r="AA112" s="610"/>
    </row>
    <row r="113" spans="1:27" ht="9.75" customHeight="1" thickBot="1">
      <c r="A113" s="766"/>
      <c r="B113" s="48"/>
      <c r="C113" s="45"/>
      <c r="D113" s="45"/>
      <c r="E113" s="45"/>
      <c r="F113" s="45"/>
      <c r="G113" s="49"/>
      <c r="H113" s="45"/>
      <c r="I113" s="45"/>
      <c r="J113" s="49"/>
      <c r="K113" s="28"/>
      <c r="L113" s="28"/>
      <c r="M113" s="28"/>
      <c r="N113" s="28"/>
      <c r="O113" s="817"/>
      <c r="P113" s="818"/>
      <c r="Q113" s="815"/>
      <c r="R113" s="816"/>
      <c r="S113" s="3"/>
      <c r="T113" s="7"/>
      <c r="U113" s="7"/>
      <c r="X113" s="32"/>
      <c r="Y113" s="56"/>
      <c r="Z113" s="41"/>
      <c r="AA113" s="707"/>
    </row>
    <row r="114" spans="1:27" ht="19.5" thickBot="1">
      <c r="A114" s="769"/>
      <c r="B114" s="38"/>
      <c r="C114" s="38"/>
      <c r="D114" s="38"/>
      <c r="E114" s="38"/>
      <c r="F114" s="38"/>
      <c r="G114" s="38"/>
      <c r="H114" s="38"/>
      <c r="I114" s="3" t="s">
        <v>33</v>
      </c>
      <c r="J114" s="42"/>
      <c r="K114" s="45"/>
      <c r="L114" s="45"/>
      <c r="M114" s="45"/>
      <c r="N114" s="50"/>
      <c r="O114" s="1031">
        <f>O112*B124</f>
        <v>10597.349199999997</v>
      </c>
      <c r="P114" s="1032"/>
      <c r="Q114" s="1033"/>
      <c r="R114" s="1034"/>
      <c r="S114" s="3" t="s">
        <v>193</v>
      </c>
      <c r="T114" s="7"/>
      <c r="U114" s="7"/>
      <c r="V114" s="549"/>
      <c r="W114" s="711" t="str">
        <f>W15</f>
        <v>Глухова Г.В.</v>
      </c>
      <c r="Y114" s="56"/>
      <c r="Z114" s="66"/>
      <c r="AA114" s="704"/>
    </row>
    <row r="115" spans="1:27" ht="8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770"/>
      <c r="L115" s="770"/>
      <c r="M115" s="770"/>
      <c r="N115" s="767"/>
      <c r="O115" s="770"/>
      <c r="P115" s="770"/>
      <c r="Q115" s="492"/>
      <c r="R115" s="770"/>
      <c r="S115" s="3"/>
      <c r="T115" s="7"/>
      <c r="U115" s="7"/>
      <c r="Y115" s="32"/>
      <c r="Z115" s="32"/>
    </row>
    <row r="116" spans="1:27" ht="2.2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7"/>
      <c r="U116" s="7"/>
      <c r="V116" s="7"/>
      <c r="W116" s="7"/>
      <c r="X116" s="7"/>
      <c r="Y116" s="8"/>
      <c r="Z116" s="8"/>
    </row>
    <row r="117" spans="1:27">
      <c r="A117" s="26" t="s">
        <v>53</v>
      </c>
      <c r="B117" s="20"/>
      <c r="C117" s="65"/>
      <c r="D117" s="65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8" t="s">
        <v>41</v>
      </c>
      <c r="P117" s="14"/>
      <c r="Q117" s="14"/>
      <c r="R117" s="14"/>
      <c r="S117" s="28"/>
      <c r="T117" s="28"/>
      <c r="U117" s="14"/>
      <c r="V117" s="14"/>
      <c r="W117" s="14"/>
      <c r="X117" s="14"/>
      <c r="Y117" s="1047" t="s">
        <v>8</v>
      </c>
      <c r="Z117" s="1048"/>
    </row>
    <row r="118" spans="1:27">
      <c r="A118" s="168"/>
      <c r="B118" s="19"/>
      <c r="C118" s="70" t="s">
        <v>52</v>
      </c>
      <c r="D118" s="804"/>
      <c r="E118" s="1052" t="s">
        <v>108</v>
      </c>
      <c r="F118" s="1084"/>
      <c r="G118" s="1084"/>
      <c r="H118" s="1084"/>
      <c r="I118" s="1084"/>
      <c r="J118" s="1084"/>
      <c r="K118" s="1085"/>
      <c r="L118" s="853" t="s">
        <v>69</v>
      </c>
      <c r="M118" s="621"/>
      <c r="N118" s="1056" t="s">
        <v>16</v>
      </c>
      <c r="O118" s="1052"/>
      <c r="P118" s="1052"/>
      <c r="Q118" s="1052"/>
      <c r="R118" s="1052"/>
      <c r="S118" s="1052"/>
      <c r="T118" s="1087"/>
      <c r="U118" s="1052" t="s">
        <v>17</v>
      </c>
      <c r="V118" s="1052"/>
      <c r="W118" s="1052"/>
      <c r="X118" s="1052"/>
      <c r="Y118" s="1062" t="s">
        <v>3</v>
      </c>
      <c r="Z118" s="1059"/>
    </row>
    <row r="119" spans="1:27" ht="3" customHeight="1">
      <c r="A119" s="167"/>
      <c r="B119" s="5"/>
      <c r="C119" s="5" t="s">
        <v>51</v>
      </c>
      <c r="D119" s="447"/>
      <c r="E119" s="1054"/>
      <c r="F119" s="1054"/>
      <c r="G119" s="1054"/>
      <c r="H119" s="1054"/>
      <c r="I119" s="1054"/>
      <c r="J119" s="1054"/>
      <c r="K119" s="1086"/>
      <c r="L119" s="854"/>
      <c r="M119" s="622"/>
      <c r="N119" s="1057"/>
      <c r="O119" s="1054"/>
      <c r="P119" s="1054"/>
      <c r="Q119" s="1054"/>
      <c r="R119" s="1054"/>
      <c r="S119" s="1054"/>
      <c r="T119" s="1086"/>
      <c r="U119" s="1054"/>
      <c r="V119" s="1054"/>
      <c r="W119" s="1054"/>
      <c r="X119" s="1054"/>
      <c r="Y119" s="1047" t="s">
        <v>36</v>
      </c>
      <c r="Z119" s="1048"/>
    </row>
    <row r="120" spans="1:27" ht="12.75" customHeight="1">
      <c r="A120" s="167" t="s">
        <v>54</v>
      </c>
      <c r="B120" s="5"/>
      <c r="C120" s="70" t="s">
        <v>9</v>
      </c>
      <c r="D120" s="1101" t="s">
        <v>206</v>
      </c>
      <c r="E120" s="1081" t="s">
        <v>297</v>
      </c>
      <c r="F120" s="1035" t="s">
        <v>147</v>
      </c>
      <c r="G120" s="1038"/>
      <c r="H120" s="1041" t="s">
        <v>83</v>
      </c>
      <c r="I120" s="1038"/>
      <c r="J120" s="1041" t="s">
        <v>62</v>
      </c>
      <c r="K120" s="1038"/>
      <c r="L120" s="1041" t="s">
        <v>131</v>
      </c>
      <c r="M120" s="1044" t="s">
        <v>207</v>
      </c>
      <c r="N120" s="1044" t="s">
        <v>92</v>
      </c>
      <c r="O120" s="1044" t="s">
        <v>208</v>
      </c>
      <c r="P120" s="1038"/>
      <c r="Q120" s="1038" t="s">
        <v>209</v>
      </c>
      <c r="R120" s="1044" t="s">
        <v>296</v>
      </c>
      <c r="S120" s="1041" t="s">
        <v>115</v>
      </c>
      <c r="T120" s="1044" t="s">
        <v>68</v>
      </c>
      <c r="U120" s="1041" t="s">
        <v>86</v>
      </c>
      <c r="V120" s="1041" t="s">
        <v>211</v>
      </c>
      <c r="W120" s="1044" t="s">
        <v>212</v>
      </c>
      <c r="X120" s="1070" t="s">
        <v>70</v>
      </c>
      <c r="Y120" s="24"/>
      <c r="Z120" s="23"/>
    </row>
    <row r="121" spans="1:27">
      <c r="A121" s="167"/>
      <c r="B121" s="5"/>
      <c r="C121" s="70" t="s">
        <v>10</v>
      </c>
      <c r="D121" s="1102"/>
      <c r="E121" s="1082"/>
      <c r="F121" s="1036"/>
      <c r="G121" s="1039"/>
      <c r="H121" s="1042"/>
      <c r="I121" s="1039"/>
      <c r="J121" s="1042"/>
      <c r="K121" s="1039"/>
      <c r="L121" s="1042"/>
      <c r="M121" s="1045"/>
      <c r="N121" s="1045"/>
      <c r="O121" s="1045"/>
      <c r="P121" s="1039"/>
      <c r="Q121" s="1039"/>
      <c r="R121" s="1045"/>
      <c r="S121" s="1042"/>
      <c r="T121" s="1045"/>
      <c r="U121" s="1042"/>
      <c r="V121" s="1042"/>
      <c r="W121" s="1045"/>
      <c r="X121" s="1071"/>
      <c r="Y121" s="19" t="s">
        <v>6</v>
      </c>
      <c r="Z121" s="166" t="s">
        <v>4</v>
      </c>
    </row>
    <row r="122" spans="1:27" ht="87.75" customHeight="1">
      <c r="A122" s="169"/>
      <c r="B122" s="4"/>
      <c r="C122" s="71"/>
      <c r="D122" s="1103"/>
      <c r="E122" s="1083"/>
      <c r="F122" s="1037"/>
      <c r="G122" s="1040"/>
      <c r="H122" s="1043"/>
      <c r="I122" s="1040"/>
      <c r="J122" s="1043"/>
      <c r="K122" s="1040"/>
      <c r="L122" s="1043"/>
      <c r="M122" s="1046"/>
      <c r="N122" s="1046"/>
      <c r="O122" s="1046"/>
      <c r="P122" s="1040"/>
      <c r="Q122" s="1040"/>
      <c r="R122" s="1046"/>
      <c r="S122" s="1043"/>
      <c r="T122" s="1046"/>
      <c r="U122" s="1043"/>
      <c r="V122" s="1043"/>
      <c r="W122" s="1046"/>
      <c r="X122" s="1072"/>
      <c r="Y122" s="4" t="s">
        <v>7</v>
      </c>
      <c r="Z122" s="165" t="s">
        <v>5</v>
      </c>
    </row>
    <row r="123" spans="1:27" ht="11.25" customHeight="1">
      <c r="A123" s="64">
        <v>1</v>
      </c>
      <c r="B123" s="810">
        <v>2</v>
      </c>
      <c r="C123" s="72">
        <v>3</v>
      </c>
      <c r="D123" s="86">
        <v>4</v>
      </c>
      <c r="E123" s="80">
        <v>5</v>
      </c>
      <c r="F123" s="86">
        <v>6</v>
      </c>
      <c r="G123" s="76">
        <v>7</v>
      </c>
      <c r="H123" s="87">
        <v>8</v>
      </c>
      <c r="I123" s="80">
        <v>9</v>
      </c>
      <c r="J123" s="82">
        <v>10</v>
      </c>
      <c r="K123" s="95">
        <v>11</v>
      </c>
      <c r="L123" s="96">
        <v>12</v>
      </c>
      <c r="M123" s="81">
        <v>13</v>
      </c>
      <c r="N123" s="81">
        <v>14</v>
      </c>
      <c r="O123" s="81">
        <v>15</v>
      </c>
      <c r="P123" s="80">
        <v>16</v>
      </c>
      <c r="Q123" s="97">
        <v>17</v>
      </c>
      <c r="R123" s="93">
        <v>18</v>
      </c>
      <c r="S123" s="96">
        <v>19</v>
      </c>
      <c r="T123" s="98">
        <v>20</v>
      </c>
      <c r="U123" s="80">
        <v>21</v>
      </c>
      <c r="V123" s="96">
        <v>22</v>
      </c>
      <c r="W123" s="81">
        <v>23</v>
      </c>
      <c r="X123" s="96">
        <v>24</v>
      </c>
      <c r="Y123" s="35">
        <v>25</v>
      </c>
      <c r="Z123" s="809">
        <v>26</v>
      </c>
    </row>
    <row r="124" spans="1:27" ht="15.75">
      <c r="A124" s="16" t="s">
        <v>18</v>
      </c>
      <c r="B124" s="221">
        <v>100</v>
      </c>
      <c r="C124" s="73"/>
      <c r="D124" s="493">
        <f>F124</f>
        <v>100</v>
      </c>
      <c r="E124" s="99">
        <f>B124</f>
        <v>100</v>
      </c>
      <c r="F124" s="222">
        <v>100</v>
      </c>
      <c r="G124" s="99">
        <f>B124</f>
        <v>100</v>
      </c>
      <c r="H124" s="89">
        <f>F124</f>
        <v>100</v>
      </c>
      <c r="I124" s="99">
        <f>B124</f>
        <v>100</v>
      </c>
      <c r="J124" s="109"/>
      <c r="K124" s="99">
        <f>B124</f>
        <v>100</v>
      </c>
      <c r="L124" s="99">
        <f>B124</f>
        <v>100</v>
      </c>
      <c r="M124" s="99">
        <f>B124</f>
        <v>100</v>
      </c>
      <c r="N124" s="99">
        <f>B124</f>
        <v>100</v>
      </c>
      <c r="O124" s="471">
        <f>B124</f>
        <v>100</v>
      </c>
      <c r="P124" s="99">
        <f>B124</f>
        <v>100</v>
      </c>
      <c r="Q124" s="109">
        <f>F124</f>
        <v>100</v>
      </c>
      <c r="R124" s="99">
        <f>B124</f>
        <v>100</v>
      </c>
      <c r="S124" s="99">
        <f>B124</f>
        <v>100</v>
      </c>
      <c r="T124" s="99">
        <f>B124</f>
        <v>100</v>
      </c>
      <c r="U124" s="99">
        <f>B124</f>
        <v>100</v>
      </c>
      <c r="V124" s="99">
        <f>B124</f>
        <v>100</v>
      </c>
      <c r="W124" s="99">
        <f>B124</f>
        <v>100</v>
      </c>
      <c r="X124" s="99">
        <f>B124</f>
        <v>100</v>
      </c>
      <c r="Y124" s="12" t="s">
        <v>66</v>
      </c>
      <c r="Z124" s="68" t="s">
        <v>64</v>
      </c>
    </row>
    <row r="125" spans="1:27" ht="16.5" thickBot="1">
      <c r="A125" s="59" t="s">
        <v>19</v>
      </c>
      <c r="B125" s="60"/>
      <c r="C125" s="74"/>
      <c r="D125" s="304">
        <v>35</v>
      </c>
      <c r="E125" s="301">
        <f>D125*F124/B124</f>
        <v>35</v>
      </c>
      <c r="F125" s="91">
        <v>150</v>
      </c>
      <c r="G125" s="119">
        <f>F125*F124/B124</f>
        <v>150</v>
      </c>
      <c r="H125" s="91">
        <v>150</v>
      </c>
      <c r="I125" s="119">
        <f>H125*H124/B124</f>
        <v>150</v>
      </c>
      <c r="J125" s="110"/>
      <c r="K125" s="119">
        <f>K169/B124*1000</f>
        <v>10</v>
      </c>
      <c r="L125" s="119">
        <f>L146</f>
        <v>100</v>
      </c>
      <c r="M125" s="119">
        <v>180</v>
      </c>
      <c r="N125" s="119">
        <f>N135/B124*1000</f>
        <v>10</v>
      </c>
      <c r="O125" s="643">
        <v>110</v>
      </c>
      <c r="P125" s="119">
        <v>100</v>
      </c>
      <c r="Q125" s="111">
        <v>80</v>
      </c>
      <c r="R125" s="119">
        <f>Q125*Q124/B124</f>
        <v>80</v>
      </c>
      <c r="S125" s="100">
        <v>150</v>
      </c>
      <c r="T125" s="119">
        <f>T171/B124*1000</f>
        <v>30</v>
      </c>
      <c r="U125" s="100">
        <v>30</v>
      </c>
      <c r="V125" s="119">
        <v>60</v>
      </c>
      <c r="W125" s="119">
        <v>150</v>
      </c>
      <c r="X125" s="119">
        <f>X173/B124*1000</f>
        <v>10</v>
      </c>
      <c r="Y125" s="61"/>
      <c r="Z125" s="69"/>
    </row>
    <row r="126" spans="1:27" ht="15" customHeight="1" thickTop="1">
      <c r="A126" s="133"/>
      <c r="B126" s="5" t="s">
        <v>65</v>
      </c>
      <c r="C126" s="77" t="s">
        <v>72</v>
      </c>
      <c r="D126" s="287"/>
      <c r="E126" s="88"/>
      <c r="F126" s="92"/>
      <c r="G126" s="88"/>
      <c r="H126" s="107"/>
      <c r="I126" s="88"/>
      <c r="J126" s="108"/>
      <c r="K126" s="88"/>
      <c r="L126" s="88"/>
      <c r="M126" s="88"/>
      <c r="N126" s="88"/>
      <c r="O126" s="566"/>
      <c r="P126" s="129"/>
      <c r="Q126" s="177">
        <f>70.5/80*Q125</f>
        <v>70.5</v>
      </c>
      <c r="R126" s="129">
        <f>Q126/Q125*R125</f>
        <v>70.5</v>
      </c>
      <c r="S126" s="88"/>
      <c r="T126" s="88"/>
      <c r="U126" s="88"/>
      <c r="V126" s="88"/>
      <c r="W126" s="88"/>
      <c r="X126" s="88"/>
      <c r="Y126" s="78"/>
      <c r="Z126" s="79"/>
    </row>
    <row r="127" spans="1:27" ht="16.5" thickBot="1">
      <c r="A127" s="346" t="str">
        <f>A28</f>
        <v>Мясо гов.</v>
      </c>
      <c r="B127" s="347">
        <f>B28</f>
        <v>470.6</v>
      </c>
      <c r="C127" s="348" t="s">
        <v>73</v>
      </c>
      <c r="D127" s="385"/>
      <c r="E127" s="386"/>
      <c r="F127" s="363"/>
      <c r="G127" s="350"/>
      <c r="H127" s="349"/>
      <c r="I127" s="350"/>
      <c r="J127" s="349"/>
      <c r="K127" s="350"/>
      <c r="L127" s="350"/>
      <c r="M127" s="350"/>
      <c r="N127" s="350"/>
      <c r="O127" s="569"/>
      <c r="P127" s="341"/>
      <c r="Q127" s="349">
        <f>Q126*Q124/1000</f>
        <v>7.05</v>
      </c>
      <c r="R127" s="341">
        <f>Q127</f>
        <v>7.05</v>
      </c>
      <c r="S127" s="350"/>
      <c r="T127" s="350"/>
      <c r="U127" s="350"/>
      <c r="V127" s="350"/>
      <c r="W127" s="350"/>
      <c r="X127" s="350"/>
      <c r="Y127" s="343">
        <f>ROUND(E127+G127+I127+K127+L127+M127+N127+P127+R127+S127+T127+U127+V127+W127+X127,2)</f>
        <v>7.05</v>
      </c>
      <c r="Z127" s="368">
        <f>Y127*B127</f>
        <v>3317.73</v>
      </c>
    </row>
    <row r="128" spans="1:27" ht="15" customHeight="1" thickTop="1">
      <c r="A128" s="133"/>
      <c r="B128" s="215"/>
      <c r="C128" s="77" t="s">
        <v>72</v>
      </c>
      <c r="D128" s="306">
        <v>5</v>
      </c>
      <c r="E128" s="129">
        <f>D128/D125*E125</f>
        <v>5</v>
      </c>
      <c r="F128" s="90">
        <v>3</v>
      </c>
      <c r="G128" s="129">
        <f>F128/F125*G125</f>
        <v>3</v>
      </c>
      <c r="H128" s="108"/>
      <c r="I128" s="88"/>
      <c r="J128" s="108"/>
      <c r="K128" s="88"/>
      <c r="L128" s="88"/>
      <c r="M128" s="88"/>
      <c r="N128" s="131"/>
      <c r="O128" s="88">
        <v>4</v>
      </c>
      <c r="P128" s="131"/>
      <c r="Q128" s="177">
        <f>2.5/80*Q125</f>
        <v>2.5</v>
      </c>
      <c r="R128" s="129">
        <f>Q128/Q125*R125</f>
        <v>2.5</v>
      </c>
      <c r="S128" s="88"/>
      <c r="T128" s="88"/>
      <c r="U128" s="131"/>
      <c r="V128" s="272">
        <v>4.3</v>
      </c>
      <c r="W128" s="88"/>
      <c r="X128" s="88"/>
      <c r="Y128" s="125"/>
      <c r="Z128" s="123"/>
    </row>
    <row r="129" spans="1:26" ht="16.5" thickBot="1">
      <c r="A129" s="134" t="str">
        <f>A30</f>
        <v>Масло слив.</v>
      </c>
      <c r="B129" s="347">
        <f>B30</f>
        <v>595</v>
      </c>
      <c r="C129" s="348" t="s">
        <v>73</v>
      </c>
      <c r="D129" s="490">
        <f>D128*F124/1000</f>
        <v>0.5</v>
      </c>
      <c r="E129" s="341">
        <f>D129</f>
        <v>0.5</v>
      </c>
      <c r="F129" s="363">
        <f>ROUND(F128*F124/1000,2)</f>
        <v>0.3</v>
      </c>
      <c r="G129" s="341">
        <f>F129</f>
        <v>0.3</v>
      </c>
      <c r="H129" s="349"/>
      <c r="I129" s="350"/>
      <c r="J129" s="349"/>
      <c r="K129" s="350"/>
      <c r="L129" s="350"/>
      <c r="M129" s="341">
        <f>ROUND(M128*B124/1000,2)</f>
        <v>0</v>
      </c>
      <c r="N129" s="350"/>
      <c r="O129" s="341">
        <f>ROUND(O128*B124/1000,2)</f>
        <v>0.4</v>
      </c>
      <c r="P129" s="350">
        <f>P128*B124/1000</f>
        <v>0</v>
      </c>
      <c r="Q129" s="349">
        <f>Q128*F124/1000</f>
        <v>0.25</v>
      </c>
      <c r="R129" s="341">
        <f>ROUND(Q129,2)</f>
        <v>0.25</v>
      </c>
      <c r="S129" s="350"/>
      <c r="T129" s="350"/>
      <c r="U129" s="350">
        <f>U128*B124/1000</f>
        <v>0</v>
      </c>
      <c r="V129" s="341">
        <f>V128*B124/1000</f>
        <v>0.43</v>
      </c>
      <c r="W129" s="350"/>
      <c r="X129" s="350"/>
      <c r="Y129" s="343">
        <f>ROUND(E129+G129+I129+K129+L129+M129+N129+O129+P129+R129+S129+T129+U129+V129+W129+X129,2)</f>
        <v>1.88</v>
      </c>
      <c r="Z129" s="344">
        <f>Y129*B129</f>
        <v>1118.5999999999999</v>
      </c>
    </row>
    <row r="130" spans="1:26" ht="15" customHeight="1" thickTop="1">
      <c r="A130" s="133"/>
      <c r="B130" s="213"/>
      <c r="C130" s="427" t="s">
        <v>72</v>
      </c>
      <c r="D130" s="287"/>
      <c r="E130" s="88"/>
      <c r="F130" s="90"/>
      <c r="G130" s="88"/>
      <c r="H130" s="108"/>
      <c r="I130" s="88"/>
      <c r="J130" s="108"/>
      <c r="K130" s="88"/>
      <c r="L130" s="88"/>
      <c r="M130" s="88">
        <v>1.8</v>
      </c>
      <c r="N130" s="131"/>
      <c r="O130" s="280"/>
      <c r="P130" s="131"/>
      <c r="Q130" s="108"/>
      <c r="R130" s="129"/>
      <c r="S130" s="88"/>
      <c r="T130" s="88"/>
      <c r="U130" s="131">
        <v>1.8</v>
      </c>
      <c r="V130" s="272">
        <v>0.24</v>
      </c>
      <c r="W130" s="88"/>
      <c r="X130" s="88"/>
      <c r="Y130" s="125"/>
      <c r="Z130" s="123"/>
    </row>
    <row r="131" spans="1:26" ht="16.5" thickBot="1">
      <c r="A131" s="134" t="str">
        <f>A32</f>
        <v>Масло раст.</v>
      </c>
      <c r="B131" s="347">
        <f>B32</f>
        <v>104.42</v>
      </c>
      <c r="C131" s="348" t="s">
        <v>73</v>
      </c>
      <c r="D131" s="385"/>
      <c r="E131" s="350"/>
      <c r="F131" s="363"/>
      <c r="G131" s="350"/>
      <c r="H131" s="349"/>
      <c r="I131" s="350"/>
      <c r="J131" s="349"/>
      <c r="K131" s="350"/>
      <c r="L131" s="350"/>
      <c r="M131" s="341">
        <f>ROUND(M130*B124/1000,2)</f>
        <v>0.18</v>
      </c>
      <c r="N131" s="341"/>
      <c r="O131" s="372"/>
      <c r="P131" s="350">
        <f>P130*B124/1000</f>
        <v>0</v>
      </c>
      <c r="Q131" s="349"/>
      <c r="R131" s="350"/>
      <c r="S131" s="350"/>
      <c r="T131" s="350"/>
      <c r="U131" s="341">
        <f>U130*B124/1000</f>
        <v>0.18</v>
      </c>
      <c r="V131" s="341">
        <f>V130*B124/1000</f>
        <v>2.4E-2</v>
      </c>
      <c r="W131" s="350"/>
      <c r="X131" s="350"/>
      <c r="Y131" s="343">
        <f>ROUND(E131+G131+I131+K131+L131+M131+N131+P131+R131+S131+T131+U131+V131+W131+X131,2)</f>
        <v>0.38</v>
      </c>
      <c r="Z131" s="344">
        <f>Y131*B131</f>
        <v>39.679600000000001</v>
      </c>
    </row>
    <row r="132" spans="1:26" ht="15" customHeight="1" thickTop="1">
      <c r="A132" s="133"/>
      <c r="B132" s="213"/>
      <c r="C132" s="427" t="s">
        <v>72</v>
      </c>
      <c r="D132" s="287"/>
      <c r="E132" s="88"/>
      <c r="F132" s="90">
        <v>120</v>
      </c>
      <c r="G132" s="129">
        <f>F132/F125*G125</f>
        <v>120</v>
      </c>
      <c r="H132" s="108">
        <v>92</v>
      </c>
      <c r="I132" s="113">
        <f>H132/H125*I125</f>
        <v>92</v>
      </c>
      <c r="J132" s="108"/>
      <c r="K132" s="88"/>
      <c r="L132" s="88"/>
      <c r="M132" s="88"/>
      <c r="N132" s="88"/>
      <c r="O132" s="280"/>
      <c r="P132" s="88"/>
      <c r="Q132" s="108"/>
      <c r="R132" s="129"/>
      <c r="S132" s="88"/>
      <c r="T132" s="88"/>
      <c r="U132" s="88"/>
      <c r="V132" s="129"/>
      <c r="W132" s="272">
        <v>75</v>
      </c>
      <c r="X132" s="88"/>
      <c r="Y132" s="125"/>
      <c r="Z132" s="123"/>
    </row>
    <row r="133" spans="1:26" ht="16.5" thickBot="1">
      <c r="A133" s="134" t="str">
        <f>A34</f>
        <v>Молоко св.</v>
      </c>
      <c r="B133" s="347">
        <f>B34</f>
        <v>67.8</v>
      </c>
      <c r="C133" s="348" t="s">
        <v>73</v>
      </c>
      <c r="D133" s="385"/>
      <c r="E133" s="350"/>
      <c r="F133" s="363">
        <f>F132*F124/1000</f>
        <v>12</v>
      </c>
      <c r="G133" s="786">
        <f>F133</f>
        <v>12</v>
      </c>
      <c r="H133" s="349">
        <f>H132*H124/1000</f>
        <v>9.1999999999999993</v>
      </c>
      <c r="I133" s="786">
        <f>H133</f>
        <v>9.1999999999999993</v>
      </c>
      <c r="J133" s="349"/>
      <c r="K133" s="350"/>
      <c r="L133" s="350"/>
      <c r="M133" s="350"/>
      <c r="N133" s="350"/>
      <c r="O133" s="420"/>
      <c r="P133" s="378"/>
      <c r="Q133" s="349"/>
      <c r="R133" s="350"/>
      <c r="S133" s="350"/>
      <c r="T133" s="350"/>
      <c r="U133" s="350"/>
      <c r="V133" s="341"/>
      <c r="W133" s="786">
        <f>W132*B124/1000</f>
        <v>7.5</v>
      </c>
      <c r="X133" s="350"/>
      <c r="Y133" s="813">
        <f>ROUND(E133+G133+I133+K133+L133+M133+N133+P133+R133+S133+T133+U133+V133+W133+X133,3)</f>
        <v>28.7</v>
      </c>
      <c r="Z133" s="344">
        <f>Y133*B133</f>
        <v>1945.86</v>
      </c>
    </row>
    <row r="134" spans="1:26" ht="15.75" customHeight="1" thickTop="1">
      <c r="A134" s="133"/>
      <c r="B134" s="215"/>
      <c r="C134" s="77" t="s">
        <v>72</v>
      </c>
      <c r="D134" s="306"/>
      <c r="E134" s="129"/>
      <c r="F134" s="90"/>
      <c r="G134" s="88"/>
      <c r="H134" s="108"/>
      <c r="I134" s="88"/>
      <c r="J134" s="108"/>
      <c r="K134" s="88"/>
      <c r="L134" s="88"/>
      <c r="M134" s="88"/>
      <c r="N134" s="113">
        <f>N135/B124*1000</f>
        <v>10</v>
      </c>
      <c r="O134" s="280"/>
      <c r="P134" s="113"/>
      <c r="Q134" s="108"/>
      <c r="R134" s="88"/>
      <c r="S134" s="88"/>
      <c r="T134" s="88"/>
      <c r="U134" s="88"/>
      <c r="V134" s="129"/>
      <c r="W134" s="88"/>
      <c r="X134" s="88"/>
      <c r="Y134" s="125"/>
      <c r="Z134" s="123"/>
    </row>
    <row r="135" spans="1:26" ht="16.5" thickBot="1">
      <c r="A135" s="134" t="str">
        <f>A36</f>
        <v>Сметана</v>
      </c>
      <c r="B135" s="347">
        <f>B36</f>
        <v>227</v>
      </c>
      <c r="C135" s="348" t="s">
        <v>73</v>
      </c>
      <c r="D135" s="385"/>
      <c r="E135" s="350"/>
      <c r="F135" s="363"/>
      <c r="G135" s="350"/>
      <c r="H135" s="349"/>
      <c r="I135" s="350"/>
      <c r="J135" s="349"/>
      <c r="K135" s="350"/>
      <c r="L135" s="350"/>
      <c r="M135" s="350"/>
      <c r="N135" s="341">
        <v>1</v>
      </c>
      <c r="O135" s="420"/>
      <c r="P135" s="378"/>
      <c r="Q135" s="349"/>
      <c r="R135" s="350"/>
      <c r="S135" s="350"/>
      <c r="T135" s="350"/>
      <c r="U135" s="350"/>
      <c r="V135" s="341"/>
      <c r="W135" s="350"/>
      <c r="X135" s="350"/>
      <c r="Y135" s="343">
        <f>ROUND(E135+G135+I135+K135+L135+M135+N135+P135+R135+S135+T135+U135+V135+W135+X135,2)</f>
        <v>1</v>
      </c>
      <c r="Z135" s="344">
        <f>Y135*B135</f>
        <v>227</v>
      </c>
    </row>
    <row r="136" spans="1:26" ht="15" customHeight="1" thickTop="1">
      <c r="A136" s="133"/>
      <c r="B136" s="213"/>
      <c r="C136" s="427" t="s">
        <v>72</v>
      </c>
      <c r="D136" s="287"/>
      <c r="E136" s="88"/>
      <c r="F136" s="90"/>
      <c r="G136" s="88"/>
      <c r="H136" s="108"/>
      <c r="I136" s="88"/>
      <c r="J136" s="108"/>
      <c r="K136" s="88"/>
      <c r="L136" s="88"/>
      <c r="M136" s="88"/>
      <c r="N136" s="88"/>
      <c r="O136" s="280"/>
      <c r="P136" s="88"/>
      <c r="Q136" s="177"/>
      <c r="R136" s="129"/>
      <c r="S136" s="88"/>
      <c r="T136" s="88"/>
      <c r="U136" s="131"/>
      <c r="V136" s="250">
        <v>1.3</v>
      </c>
      <c r="W136" s="88"/>
      <c r="X136" s="88"/>
      <c r="Y136" s="125"/>
      <c r="Z136" s="123"/>
    </row>
    <row r="137" spans="1:26" ht="16.5" thickBot="1">
      <c r="A137" s="134" t="str">
        <f>A38</f>
        <v xml:space="preserve">Яйцо </v>
      </c>
      <c r="B137" s="347">
        <f>B38</f>
        <v>10</v>
      </c>
      <c r="C137" s="348" t="s">
        <v>74</v>
      </c>
      <c r="D137" s="385"/>
      <c r="E137" s="350"/>
      <c r="F137" s="530"/>
      <c r="G137" s="386"/>
      <c r="H137" s="531"/>
      <c r="I137" s="386"/>
      <c r="J137" s="531"/>
      <c r="K137" s="386"/>
      <c r="L137" s="386"/>
      <c r="M137" s="386"/>
      <c r="N137" s="386"/>
      <c r="O137" s="535"/>
      <c r="P137" s="534"/>
      <c r="Q137" s="530"/>
      <c r="R137" s="386"/>
      <c r="S137" s="386"/>
      <c r="T137" s="386"/>
      <c r="U137" s="386"/>
      <c r="V137" s="596">
        <f>ROUND(V136*B124/1000/0.048,0)</f>
        <v>3</v>
      </c>
      <c r="W137" s="350"/>
      <c r="X137" s="350"/>
      <c r="Y137" s="472">
        <f>ROUND(E137+G137+I137+K137+L137+M137+N137+P137+R137+S137+T137+U137+V137+W137+X137,0)</f>
        <v>3</v>
      </c>
      <c r="Z137" s="344">
        <f>Y137*B137</f>
        <v>30</v>
      </c>
    </row>
    <row r="138" spans="1:26" ht="15" customHeight="1" thickTop="1">
      <c r="A138" s="133"/>
      <c r="B138" s="213"/>
      <c r="C138" s="427" t="s">
        <v>72</v>
      </c>
      <c r="D138" s="287"/>
      <c r="E138" s="88"/>
      <c r="F138" s="90"/>
      <c r="G138" s="88"/>
      <c r="H138" s="108"/>
      <c r="I138" s="88"/>
      <c r="J138" s="108"/>
      <c r="K138" s="88"/>
      <c r="L138" s="88"/>
      <c r="M138" s="88"/>
      <c r="N138" s="88"/>
      <c r="O138" s="280"/>
      <c r="P138" s="88"/>
      <c r="Q138" s="108">
        <f>2/80*Q125</f>
        <v>2</v>
      </c>
      <c r="R138" s="129">
        <f>Q138/Q125*R125</f>
        <v>2</v>
      </c>
      <c r="S138" s="88"/>
      <c r="T138" s="88"/>
      <c r="U138" s="131"/>
      <c r="V138" s="272">
        <v>42.8</v>
      </c>
      <c r="W138" s="88"/>
      <c r="X138" s="88"/>
      <c r="Y138" s="125"/>
      <c r="Z138" s="123"/>
    </row>
    <row r="139" spans="1:26" ht="16.5" thickBot="1">
      <c r="A139" s="134" t="str">
        <f>A40</f>
        <v>Мука пшен.</v>
      </c>
      <c r="B139" s="347">
        <f>B40</f>
        <v>29.08</v>
      </c>
      <c r="C139" s="348" t="s">
        <v>73</v>
      </c>
      <c r="D139" s="385"/>
      <c r="E139" s="350"/>
      <c r="F139" s="363"/>
      <c r="G139" s="350"/>
      <c r="H139" s="349"/>
      <c r="I139" s="350"/>
      <c r="J139" s="349"/>
      <c r="K139" s="350"/>
      <c r="L139" s="350"/>
      <c r="M139" s="341"/>
      <c r="N139" s="350"/>
      <c r="O139" s="420"/>
      <c r="P139" s="350">
        <f>P138*B124/1000</f>
        <v>0</v>
      </c>
      <c r="Q139" s="349">
        <f>Q138*Q124/1000</f>
        <v>0.2</v>
      </c>
      <c r="R139" s="341">
        <f>ROUND(Q139,2)</f>
        <v>0.2</v>
      </c>
      <c r="S139" s="350"/>
      <c r="T139" s="350"/>
      <c r="U139" s="341"/>
      <c r="V139" s="341">
        <f>V138*B124/1000</f>
        <v>4.28</v>
      </c>
      <c r="W139" s="350"/>
      <c r="X139" s="350"/>
      <c r="Y139" s="343">
        <f>ROUND(E139+G139+I139+K139+L139+M139+N139+P139+R139+S139+T139+U139+V139+W139+X139,2)</f>
        <v>4.4800000000000004</v>
      </c>
      <c r="Z139" s="344">
        <f>Y139*B139</f>
        <v>130.2784</v>
      </c>
    </row>
    <row r="140" spans="1:26" ht="15" customHeight="1" thickTop="1">
      <c r="A140" s="133"/>
      <c r="B140" s="213"/>
      <c r="C140" s="427" t="s">
        <v>72</v>
      </c>
      <c r="D140" s="287"/>
      <c r="E140" s="88"/>
      <c r="F140" s="90">
        <v>28.5</v>
      </c>
      <c r="G140" s="129">
        <f>F140/F125*G125</f>
        <v>28.5</v>
      </c>
      <c r="H140" s="108"/>
      <c r="I140" s="88"/>
      <c r="J140" s="108"/>
      <c r="K140" s="88"/>
      <c r="L140" s="88"/>
      <c r="M140" s="88"/>
      <c r="N140" s="88"/>
      <c r="O140" s="280"/>
      <c r="P140" s="88"/>
      <c r="Q140" s="108"/>
      <c r="R140" s="129"/>
      <c r="S140" s="88"/>
      <c r="T140" s="88"/>
      <c r="U140" s="88"/>
      <c r="V140" s="88"/>
      <c r="W140" s="88"/>
      <c r="X140" s="88"/>
      <c r="Y140" s="125"/>
      <c r="Z140" s="123"/>
    </row>
    <row r="141" spans="1:26" ht="16.5" thickBot="1">
      <c r="A141" s="134" t="str">
        <f>A42</f>
        <v>Гречневая кр.</v>
      </c>
      <c r="B141" s="347">
        <f>B42</f>
        <v>72.98</v>
      </c>
      <c r="C141" s="348" t="s">
        <v>73</v>
      </c>
      <c r="D141" s="385"/>
      <c r="E141" s="350"/>
      <c r="F141" s="363">
        <f>F140*F124/1000</f>
        <v>2.85</v>
      </c>
      <c r="G141" s="341">
        <f>F141</f>
        <v>2.85</v>
      </c>
      <c r="H141" s="349"/>
      <c r="I141" s="350"/>
      <c r="J141" s="349"/>
      <c r="K141" s="350"/>
      <c r="L141" s="350"/>
      <c r="M141" s="341"/>
      <c r="N141" s="350"/>
      <c r="O141" s="420"/>
      <c r="P141" s="378"/>
      <c r="Q141" s="349"/>
      <c r="R141" s="341"/>
      <c r="S141" s="350"/>
      <c r="T141" s="350"/>
      <c r="U141" s="350"/>
      <c r="V141" s="350"/>
      <c r="W141" s="350"/>
      <c r="X141" s="350"/>
      <c r="Y141" s="343">
        <f>ROUND(E141+G141+I141+K141+L141+M141+N141+P141+R141+S141+T141+U141+V141+W141+X141,2)</f>
        <v>2.85</v>
      </c>
      <c r="Z141" s="344">
        <f>Y141*B141</f>
        <v>207.99300000000002</v>
      </c>
    </row>
    <row r="142" spans="1:26" ht="15" customHeight="1" thickTop="1">
      <c r="A142" s="133"/>
      <c r="B142" s="215"/>
      <c r="C142" s="77" t="s">
        <v>72</v>
      </c>
      <c r="D142" s="287"/>
      <c r="E142" s="88"/>
      <c r="F142" s="90"/>
      <c r="G142" s="129">
        <f>F142/F125*G125</f>
        <v>0</v>
      </c>
      <c r="H142" s="108"/>
      <c r="I142" s="88"/>
      <c r="J142" s="108"/>
      <c r="K142" s="88"/>
      <c r="L142" s="88"/>
      <c r="M142" s="88"/>
      <c r="N142" s="131"/>
      <c r="O142" s="88">
        <v>37</v>
      </c>
      <c r="P142" s="88"/>
      <c r="Q142" s="108"/>
      <c r="R142" s="129"/>
      <c r="S142" s="88"/>
      <c r="T142" s="88"/>
      <c r="U142" s="88"/>
      <c r="V142" s="88"/>
      <c r="W142" s="88"/>
      <c r="X142" s="88"/>
      <c r="Y142" s="125"/>
      <c r="Z142" s="123"/>
    </row>
    <row r="143" spans="1:26" ht="16.5" thickBot="1">
      <c r="A143" s="134" t="str">
        <f>A44</f>
        <v>Макаронн. изд.</v>
      </c>
      <c r="B143" s="347">
        <f>B44</f>
        <v>42.1</v>
      </c>
      <c r="C143" s="348" t="s">
        <v>73</v>
      </c>
      <c r="D143" s="385"/>
      <c r="E143" s="350"/>
      <c r="F143" s="363">
        <f>F142*F124/1000</f>
        <v>0</v>
      </c>
      <c r="G143" s="350">
        <f>F143</f>
        <v>0</v>
      </c>
      <c r="H143" s="349"/>
      <c r="I143" s="350"/>
      <c r="J143" s="349"/>
      <c r="K143" s="350"/>
      <c r="L143" s="350"/>
      <c r="M143" s="350"/>
      <c r="N143" s="350"/>
      <c r="O143" s="341">
        <f>ROUND(O142*B124/1000,2)</f>
        <v>3.7</v>
      </c>
      <c r="P143" s="378"/>
      <c r="Q143" s="349"/>
      <c r="R143" s="341"/>
      <c r="S143" s="350"/>
      <c r="T143" s="350"/>
      <c r="U143" s="350"/>
      <c r="V143" s="350"/>
      <c r="W143" s="350"/>
      <c r="X143" s="350"/>
      <c r="Y143" s="343">
        <f>ROUND(E143+G143+I143+K143+L143+M143+N143+O143+P143+R143+S143+T143+U143+V143+W143+X143,2)</f>
        <v>3.7</v>
      </c>
      <c r="Z143" s="344">
        <f>Y143*B143</f>
        <v>155.77000000000001</v>
      </c>
    </row>
    <row r="144" spans="1:26" ht="15" customHeight="1" thickTop="1">
      <c r="A144" s="133"/>
      <c r="B144" s="213"/>
      <c r="C144" s="427" t="s">
        <v>72</v>
      </c>
      <c r="D144" s="287"/>
      <c r="E144" s="88"/>
      <c r="F144" s="90">
        <v>2.2999999999999998</v>
      </c>
      <c r="G144" s="129">
        <f>F144/F125*G125</f>
        <v>2.2999999999999998</v>
      </c>
      <c r="H144" s="108">
        <v>6</v>
      </c>
      <c r="I144" s="129">
        <f>H144/H125*I125</f>
        <v>6</v>
      </c>
      <c r="J144" s="108"/>
      <c r="K144" s="88"/>
      <c r="L144" s="88"/>
      <c r="M144" s="131"/>
      <c r="N144" s="88"/>
      <c r="O144" s="280"/>
      <c r="P144" s="131"/>
      <c r="Q144" s="108"/>
      <c r="R144" s="88"/>
      <c r="S144" s="131">
        <v>8</v>
      </c>
      <c r="T144" s="88"/>
      <c r="U144" s="131"/>
      <c r="V144" s="272">
        <v>4.3</v>
      </c>
      <c r="W144" s="131">
        <v>6</v>
      </c>
      <c r="X144" s="88"/>
      <c r="Y144" s="125"/>
      <c r="Z144" s="123"/>
    </row>
    <row r="145" spans="1:26" ht="16.5" thickBot="1">
      <c r="A145" s="134" t="str">
        <f>A46</f>
        <v>Сахар</v>
      </c>
      <c r="B145" s="347">
        <f>B46</f>
        <v>62.77</v>
      </c>
      <c r="C145" s="348" t="s">
        <v>73</v>
      </c>
      <c r="D145" s="385"/>
      <c r="E145" s="350"/>
      <c r="F145" s="363">
        <f>F144*F124/1000</f>
        <v>0.22999999999999998</v>
      </c>
      <c r="G145" s="341">
        <f>ROUND(F145,2)</f>
        <v>0.23</v>
      </c>
      <c r="H145" s="349">
        <f>H144*H124/1000</f>
        <v>0.6</v>
      </c>
      <c r="I145" s="341">
        <f>ROUND(H145,2)</f>
        <v>0.6</v>
      </c>
      <c r="J145" s="349"/>
      <c r="K145" s="350"/>
      <c r="L145" s="350"/>
      <c r="M145" s="350">
        <f>M144*B124/1000</f>
        <v>0</v>
      </c>
      <c r="N145" s="341"/>
      <c r="O145" s="372"/>
      <c r="P145" s="350">
        <f>P144*B124/1000</f>
        <v>0</v>
      </c>
      <c r="Q145" s="349"/>
      <c r="R145" s="350"/>
      <c r="S145" s="341">
        <f>ROUND(S144*B124/1000,2)</f>
        <v>0.8</v>
      </c>
      <c r="T145" s="350"/>
      <c r="U145" s="350"/>
      <c r="V145" s="341">
        <f>V144*B124/1000</f>
        <v>0.43</v>
      </c>
      <c r="W145" s="341">
        <f>ROUND(W144*B124/1000,2)</f>
        <v>0.6</v>
      </c>
      <c r="X145" s="350"/>
      <c r="Y145" s="343">
        <f>ROUND(E145+G145+I145+K145+L145+M145+N145+P145+R145+S145+T145+U145+V145+W145+X145,2)</f>
        <v>2.66</v>
      </c>
      <c r="Z145" s="344">
        <f>Y145*B145</f>
        <v>166.96820000000002</v>
      </c>
    </row>
    <row r="146" spans="1:26" ht="15" customHeight="1" thickTop="1">
      <c r="A146" s="133"/>
      <c r="B146" s="215"/>
      <c r="C146" s="77" t="s">
        <v>72</v>
      </c>
      <c r="D146" s="287"/>
      <c r="E146" s="88"/>
      <c r="F146" s="90"/>
      <c r="G146" s="88"/>
      <c r="H146" s="108"/>
      <c r="I146" s="88"/>
      <c r="J146" s="108"/>
      <c r="K146" s="88"/>
      <c r="L146" s="113">
        <f>L147/B124*1000</f>
        <v>100</v>
      </c>
      <c r="M146" s="88"/>
      <c r="N146" s="88"/>
      <c r="O146" s="280"/>
      <c r="P146" s="88"/>
      <c r="Q146" s="108"/>
      <c r="R146" s="88"/>
      <c r="S146" s="131"/>
      <c r="T146" s="88"/>
      <c r="U146" s="88"/>
      <c r="V146" s="88"/>
      <c r="W146" s="88"/>
      <c r="X146" s="88"/>
      <c r="Y146" s="125"/>
      <c r="Z146" s="123"/>
    </row>
    <row r="147" spans="1:26" ht="16.5" thickBot="1">
      <c r="A147" s="134" t="str">
        <f>A48</f>
        <v>Фрукт?</v>
      </c>
      <c r="B147" s="347">
        <f>B48</f>
        <v>100</v>
      </c>
      <c r="C147" s="348" t="s">
        <v>73</v>
      </c>
      <c r="D147" s="385"/>
      <c r="E147" s="350"/>
      <c r="F147" s="363"/>
      <c r="G147" s="350"/>
      <c r="H147" s="349"/>
      <c r="I147" s="350"/>
      <c r="J147" s="349"/>
      <c r="K147" s="350"/>
      <c r="L147" s="341">
        <v>10</v>
      </c>
      <c r="M147" s="350"/>
      <c r="N147" s="350"/>
      <c r="O147" s="420"/>
      <c r="P147" s="378"/>
      <c r="Q147" s="349"/>
      <c r="R147" s="350"/>
      <c r="S147" s="350">
        <f>S146*B124/1000</f>
        <v>0</v>
      </c>
      <c r="T147" s="350"/>
      <c r="U147" s="350"/>
      <c r="V147" s="350"/>
      <c r="W147" s="350"/>
      <c r="X147" s="350"/>
      <c r="Y147" s="343">
        <f>ROUND(E147+G147+I147+K147+L147+M147+N147+P147+R147+S147+T147+U147+V147+W147+X147,2)</f>
        <v>10</v>
      </c>
      <c r="Z147" s="344">
        <f>Y147*B147</f>
        <v>1000</v>
      </c>
    </row>
    <row r="148" spans="1:26" ht="15" customHeight="1" thickTop="1">
      <c r="A148" s="133"/>
      <c r="B148" s="215"/>
      <c r="C148" s="77" t="s">
        <v>72</v>
      </c>
      <c r="D148" s="287"/>
      <c r="E148" s="104"/>
      <c r="F148" s="103"/>
      <c r="G148" s="104"/>
      <c r="H148" s="108"/>
      <c r="I148" s="104"/>
      <c r="J148" s="108"/>
      <c r="K148" s="104"/>
      <c r="L148" s="137"/>
      <c r="M148" s="104"/>
      <c r="N148" s="104"/>
      <c r="O148" s="283"/>
      <c r="P148" s="88"/>
      <c r="Q148" s="108"/>
      <c r="R148" s="104"/>
      <c r="S148" s="183">
        <v>10</v>
      </c>
      <c r="T148" s="104"/>
      <c r="U148" s="104"/>
      <c r="V148" s="104"/>
      <c r="W148" s="104"/>
      <c r="X148" s="104"/>
      <c r="Y148" s="125"/>
      <c r="Z148" s="123"/>
    </row>
    <row r="149" spans="1:26" ht="16.5" thickBot="1">
      <c r="A149" s="134" t="str">
        <f>A50</f>
        <v>Сухофрукты</v>
      </c>
      <c r="B149" s="347">
        <f>B50</f>
        <v>170</v>
      </c>
      <c r="C149" s="348" t="s">
        <v>73</v>
      </c>
      <c r="D149" s="385"/>
      <c r="E149" s="350"/>
      <c r="F149" s="363"/>
      <c r="G149" s="350"/>
      <c r="H149" s="349"/>
      <c r="I149" s="350"/>
      <c r="J149" s="349"/>
      <c r="K149" s="350"/>
      <c r="L149" s="341"/>
      <c r="M149" s="350"/>
      <c r="N149" s="350"/>
      <c r="O149" s="420"/>
      <c r="P149" s="350"/>
      <c r="Q149" s="349"/>
      <c r="R149" s="350"/>
      <c r="S149" s="341">
        <f>S148*B124/1000</f>
        <v>1</v>
      </c>
      <c r="T149" s="350"/>
      <c r="U149" s="350"/>
      <c r="V149" s="350"/>
      <c r="W149" s="350"/>
      <c r="X149" s="350"/>
      <c r="Y149" s="343">
        <f>ROUND(E149+G149+I149+K149+L149+M149+N149+P149+R149+S149+T149+U149+V149+W149+X149,2)</f>
        <v>1</v>
      </c>
      <c r="Z149" s="344">
        <f>Y149*B149</f>
        <v>170</v>
      </c>
    </row>
    <row r="150" spans="1:26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18" t="s">
        <v>71</v>
      </c>
    </row>
    <row r="151" spans="1:26">
      <c r="A151" s="26" t="s">
        <v>53</v>
      </c>
      <c r="B151" s="20"/>
      <c r="C151" s="65"/>
      <c r="D151" s="65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28" t="s">
        <v>41</v>
      </c>
      <c r="P151" s="14"/>
      <c r="Q151" s="14"/>
      <c r="R151" s="14"/>
      <c r="S151" s="28" t="s">
        <v>11</v>
      </c>
      <c r="T151" s="28"/>
      <c r="U151" s="14"/>
      <c r="V151" s="14"/>
      <c r="W151" s="14"/>
      <c r="X151" s="22"/>
      <c r="Y151" s="1047" t="s">
        <v>8</v>
      </c>
      <c r="Z151" s="1048"/>
    </row>
    <row r="152" spans="1:26">
      <c r="A152" s="168"/>
      <c r="B152" s="19"/>
      <c r="C152" s="5" t="s">
        <v>52</v>
      </c>
      <c r="D152" s="482"/>
      <c r="E152" s="1052"/>
      <c r="F152" s="1052"/>
      <c r="G152" s="1052"/>
      <c r="H152" s="1052"/>
      <c r="I152" s="1052"/>
      <c r="J152" s="1052"/>
      <c r="K152" s="1053"/>
      <c r="L152" s="161" t="s">
        <v>69</v>
      </c>
      <c r="M152" s="621"/>
      <c r="N152" s="1056" t="s">
        <v>16</v>
      </c>
      <c r="O152" s="1052"/>
      <c r="P152" s="1052"/>
      <c r="Q152" s="1052"/>
      <c r="R152" s="1052"/>
      <c r="S152" s="1052"/>
      <c r="T152" s="1053"/>
      <c r="U152" s="1056" t="s">
        <v>17</v>
      </c>
      <c r="V152" s="1052"/>
      <c r="W152" s="1052"/>
      <c r="X152" s="1052"/>
      <c r="Y152" s="1058" t="s">
        <v>3</v>
      </c>
      <c r="Z152" s="1059"/>
    </row>
    <row r="153" spans="1:26">
      <c r="A153" s="167"/>
      <c r="B153" s="5"/>
      <c r="C153" s="5" t="s">
        <v>51</v>
      </c>
      <c r="D153" s="447"/>
      <c r="E153" s="1054"/>
      <c r="F153" s="1054"/>
      <c r="G153" s="1054"/>
      <c r="H153" s="1054"/>
      <c r="I153" s="1054"/>
      <c r="J153" s="1054"/>
      <c r="K153" s="1055"/>
      <c r="L153" s="163"/>
      <c r="M153" s="622"/>
      <c r="N153" s="1057"/>
      <c r="O153" s="1054"/>
      <c r="P153" s="1054"/>
      <c r="Q153" s="1054"/>
      <c r="R153" s="1054"/>
      <c r="S153" s="1054"/>
      <c r="T153" s="1055"/>
      <c r="U153" s="1057"/>
      <c r="V153" s="1054"/>
      <c r="W153" s="1054"/>
      <c r="X153" s="1054"/>
      <c r="Y153" s="1047" t="s">
        <v>36</v>
      </c>
      <c r="Z153" s="1048"/>
    </row>
    <row r="154" spans="1:26" ht="12.75" customHeight="1">
      <c r="A154" s="167" t="s">
        <v>54</v>
      </c>
      <c r="B154" s="5" t="s">
        <v>65</v>
      </c>
      <c r="C154" s="5" t="s">
        <v>9</v>
      </c>
      <c r="D154" s="1038" t="str">
        <f>D120</f>
        <v>Бут.. с масл. сл. и сыром</v>
      </c>
      <c r="E154" s="1038" t="str">
        <f>E120</f>
        <v>10./  5. /20</v>
      </c>
      <c r="F154" s="1035" t="str">
        <f>F120</f>
        <v>Каша гречн. мол. с масл, с сах.</v>
      </c>
      <c r="G154" s="1038"/>
      <c r="H154" s="1041" t="str">
        <f>H120</f>
        <v>Чай с молоком</v>
      </c>
      <c r="I154" s="1038"/>
      <c r="J154" s="1041" t="str">
        <f>J120</f>
        <v>Батон витам.</v>
      </c>
      <c r="K154" s="1038"/>
      <c r="L154" s="1041" t="str">
        <f t="shared" ref="L154:Q154" si="2">L120</f>
        <v>Фрукты порц.</v>
      </c>
      <c r="M154" s="1041" t="str">
        <f t="shared" si="2"/>
        <v>Суп из овощей</v>
      </c>
      <c r="N154" s="1044" t="str">
        <f t="shared" si="2"/>
        <v>со сметаной</v>
      </c>
      <c r="O154" s="1035" t="str">
        <f t="shared" si="2"/>
        <v>Макаронные изд отв.</v>
      </c>
      <c r="P154" s="1038">
        <f t="shared" si="2"/>
        <v>0</v>
      </c>
      <c r="Q154" s="1035" t="str">
        <f t="shared" si="2"/>
        <v xml:space="preserve">Гуляш  </v>
      </c>
      <c r="R154" s="1038"/>
      <c r="S154" s="1041" t="str">
        <f>S120</f>
        <v>Компот из с/фруктов</v>
      </c>
      <c r="T154" s="1044" t="s">
        <v>68</v>
      </c>
      <c r="U154" s="1041" t="str">
        <f>U120</f>
        <v>Винегрет</v>
      </c>
      <c r="V154" s="1041" t="str">
        <f>V120</f>
        <v>Булочка "Веснушка"</v>
      </c>
      <c r="W154" s="1096"/>
      <c r="X154" s="1044" t="str">
        <f>X120</f>
        <v>Хлеб йодирован. пшен.</v>
      </c>
      <c r="Y154" s="24"/>
      <c r="Z154" s="23"/>
    </row>
    <row r="155" spans="1:26">
      <c r="A155" s="167"/>
      <c r="B155" s="5"/>
      <c r="C155" s="5" t="s">
        <v>10</v>
      </c>
      <c r="D155" s="1039"/>
      <c r="E155" s="1039"/>
      <c r="F155" s="1036"/>
      <c r="G155" s="1039"/>
      <c r="H155" s="1042"/>
      <c r="I155" s="1039"/>
      <c r="J155" s="1042"/>
      <c r="K155" s="1039"/>
      <c r="L155" s="1042"/>
      <c r="M155" s="1042"/>
      <c r="N155" s="1045"/>
      <c r="O155" s="1036"/>
      <c r="P155" s="1039"/>
      <c r="Q155" s="1036"/>
      <c r="R155" s="1039"/>
      <c r="S155" s="1042"/>
      <c r="T155" s="1045"/>
      <c r="U155" s="1042"/>
      <c r="V155" s="1097"/>
      <c r="W155" s="1098"/>
      <c r="X155" s="1045"/>
      <c r="Y155" s="19" t="s">
        <v>6</v>
      </c>
      <c r="Z155" s="166" t="s">
        <v>4</v>
      </c>
    </row>
    <row r="156" spans="1:26">
      <c r="A156" s="169"/>
      <c r="B156" s="4"/>
      <c r="C156" s="4"/>
      <c r="D156" s="1040"/>
      <c r="E156" s="1040"/>
      <c r="F156" s="1037"/>
      <c r="G156" s="1040"/>
      <c r="H156" s="1043"/>
      <c r="I156" s="1040"/>
      <c r="J156" s="1043"/>
      <c r="K156" s="1040"/>
      <c r="L156" s="1043"/>
      <c r="M156" s="1043"/>
      <c r="N156" s="1046"/>
      <c r="O156" s="1037"/>
      <c r="P156" s="1040"/>
      <c r="Q156" s="1037"/>
      <c r="R156" s="1040"/>
      <c r="S156" s="1043"/>
      <c r="T156" s="1046"/>
      <c r="U156" s="1043"/>
      <c r="V156" s="1099"/>
      <c r="W156" s="1100"/>
      <c r="X156" s="1046"/>
      <c r="Y156" s="4" t="s">
        <v>7</v>
      </c>
      <c r="Z156" s="165" t="s">
        <v>5</v>
      </c>
    </row>
    <row r="157" spans="1:26" ht="13.5" thickBot="1">
      <c r="A157" s="64">
        <v>1</v>
      </c>
      <c r="B157" s="810">
        <v>2</v>
      </c>
      <c r="C157" s="72">
        <v>3</v>
      </c>
      <c r="D157" s="86">
        <v>4</v>
      </c>
      <c r="E157" s="80">
        <v>5</v>
      </c>
      <c r="F157" s="86">
        <v>6</v>
      </c>
      <c r="G157" s="76">
        <v>7</v>
      </c>
      <c r="H157" s="87">
        <v>8</v>
      </c>
      <c r="I157" s="80">
        <v>9</v>
      </c>
      <c r="J157" s="82">
        <v>10</v>
      </c>
      <c r="K157" s="95">
        <v>11</v>
      </c>
      <c r="L157" s="96">
        <v>12</v>
      </c>
      <c r="M157" s="81">
        <v>13</v>
      </c>
      <c r="N157" s="81">
        <v>14</v>
      </c>
      <c r="O157" s="81">
        <v>15</v>
      </c>
      <c r="P157" s="80">
        <v>16</v>
      </c>
      <c r="Q157" s="97">
        <v>17</v>
      </c>
      <c r="R157" s="93">
        <v>18</v>
      </c>
      <c r="S157" s="96">
        <v>19</v>
      </c>
      <c r="T157" s="98">
        <v>20</v>
      </c>
      <c r="U157" s="80">
        <v>21</v>
      </c>
      <c r="V157" s="96">
        <v>22</v>
      </c>
      <c r="W157" s="81">
        <v>23</v>
      </c>
      <c r="X157" s="96">
        <v>24</v>
      </c>
      <c r="Y157" s="35">
        <v>25</v>
      </c>
      <c r="Z157" s="809">
        <v>26</v>
      </c>
    </row>
    <row r="158" spans="1:26" ht="15" customHeight="1" thickTop="1">
      <c r="A158" s="135"/>
      <c r="B158" s="13"/>
      <c r="C158" s="77" t="s">
        <v>72</v>
      </c>
      <c r="D158" s="297"/>
      <c r="E158" s="277"/>
      <c r="F158" s="109"/>
      <c r="G158" s="94"/>
      <c r="H158" s="109"/>
      <c r="I158" s="94"/>
      <c r="J158" s="109"/>
      <c r="K158" s="94"/>
      <c r="L158" s="94"/>
      <c r="M158" s="130">
        <v>55.4</v>
      </c>
      <c r="N158" s="130"/>
      <c r="O158" s="579"/>
      <c r="P158" s="410"/>
      <c r="Q158" s="429"/>
      <c r="R158" s="182"/>
      <c r="S158" s="94"/>
      <c r="T158" s="94"/>
      <c r="U158" s="130">
        <v>12</v>
      </c>
      <c r="V158" s="277"/>
      <c r="W158" s="94"/>
      <c r="X158" s="94"/>
      <c r="Y158" s="117"/>
      <c r="Z158" s="116"/>
    </row>
    <row r="159" spans="1:26" ht="16.5" thickBot="1">
      <c r="A159" s="346" t="str">
        <f>A60</f>
        <v>Картофель</v>
      </c>
      <c r="B159" s="347">
        <f>B60</f>
        <v>28</v>
      </c>
      <c r="C159" s="348" t="s">
        <v>73</v>
      </c>
      <c r="D159" s="387"/>
      <c r="E159" s="353"/>
      <c r="F159" s="338"/>
      <c r="G159" s="337"/>
      <c r="H159" s="338"/>
      <c r="I159" s="337"/>
      <c r="J159" s="338"/>
      <c r="K159" s="337"/>
      <c r="L159" s="337"/>
      <c r="M159" s="339">
        <f>M158*B124/1000</f>
        <v>5.54</v>
      </c>
      <c r="N159" s="339"/>
      <c r="O159" s="372"/>
      <c r="P159" s="350">
        <f>P158*B124/1000</f>
        <v>0</v>
      </c>
      <c r="Q159" s="349"/>
      <c r="R159" s="340"/>
      <c r="S159" s="337"/>
      <c r="T159" s="337"/>
      <c r="U159" s="341">
        <f>U158*B124/1000</f>
        <v>1.2</v>
      </c>
      <c r="V159" s="353"/>
      <c r="W159" s="337"/>
      <c r="X159" s="337"/>
      <c r="Y159" s="343">
        <f>ROUND(E159+G159+I159+K159+L159+M159+N159+P159+R159+S159+T159+U159+V159+W159+X159,2)</f>
        <v>6.74</v>
      </c>
      <c r="Z159" s="344">
        <f>Y159*B159</f>
        <v>188.72</v>
      </c>
    </row>
    <row r="160" spans="1:26" ht="15" customHeight="1" thickTop="1">
      <c r="A160" s="133"/>
      <c r="B160" s="213"/>
      <c r="C160" s="427" t="s">
        <v>72</v>
      </c>
      <c r="D160" s="78"/>
      <c r="E160" s="268"/>
      <c r="F160" s="112"/>
      <c r="G160" s="127"/>
      <c r="H160" s="112"/>
      <c r="I160" s="106"/>
      <c r="J160" s="112"/>
      <c r="K160" s="106"/>
      <c r="L160" s="106"/>
      <c r="M160" s="127">
        <v>9</v>
      </c>
      <c r="N160" s="127"/>
      <c r="O160" s="403"/>
      <c r="P160" s="464"/>
      <c r="Q160" s="177"/>
      <c r="R160" s="106"/>
      <c r="S160" s="106"/>
      <c r="T160" s="106"/>
      <c r="U160" s="250">
        <v>9.1999999999999993</v>
      </c>
      <c r="V160" s="272"/>
      <c r="W160" s="106"/>
      <c r="X160" s="106"/>
      <c r="Y160" s="125"/>
      <c r="Z160" s="123"/>
    </row>
    <row r="161" spans="1:26" ht="16.5" thickBot="1">
      <c r="A161" s="346" t="str">
        <f>A62</f>
        <v>Горошек конс.</v>
      </c>
      <c r="B161" s="347">
        <f>B62</f>
        <v>190</v>
      </c>
      <c r="C161" s="348" t="s">
        <v>73</v>
      </c>
      <c r="D161" s="387"/>
      <c r="E161" s="353"/>
      <c r="F161" s="349"/>
      <c r="G161" s="340"/>
      <c r="H161" s="338"/>
      <c r="I161" s="337"/>
      <c r="J161" s="338"/>
      <c r="K161" s="337"/>
      <c r="L161" s="337"/>
      <c r="M161" s="339">
        <f>M160*B124/1000</f>
        <v>0.9</v>
      </c>
      <c r="N161" s="340"/>
      <c r="O161" s="420"/>
      <c r="P161" s="463"/>
      <c r="Q161" s="349"/>
      <c r="R161" s="337"/>
      <c r="S161" s="337"/>
      <c r="T161" s="337"/>
      <c r="U161" s="341">
        <f>U160*B124/1000</f>
        <v>0.91999999999999993</v>
      </c>
      <c r="V161" s="350"/>
      <c r="W161" s="337"/>
      <c r="X161" s="337"/>
      <c r="Y161" s="343">
        <f>ROUND(E161+G161+I161+K161+L161+M161+N161+P161+R161+S161+T161+U161+V161+W161+X161,2)</f>
        <v>1.82</v>
      </c>
      <c r="Z161" s="344">
        <f>Y161*B161</f>
        <v>345.8</v>
      </c>
    </row>
    <row r="162" spans="1:26" ht="15" customHeight="1" thickTop="1">
      <c r="A162" s="133"/>
      <c r="B162" s="215"/>
      <c r="C162" s="77" t="s">
        <v>72</v>
      </c>
      <c r="D162" s="78"/>
      <c r="E162" s="268"/>
      <c r="F162" s="112"/>
      <c r="G162" s="106"/>
      <c r="H162" s="112"/>
      <c r="I162" s="106"/>
      <c r="J162" s="112"/>
      <c r="K162" s="106"/>
      <c r="L162" s="106"/>
      <c r="M162" s="127">
        <v>8.6</v>
      </c>
      <c r="N162" s="127"/>
      <c r="O162" s="403"/>
      <c r="P162" s="499"/>
      <c r="Q162" s="177">
        <f>8.5/80*Q125</f>
        <v>8.5</v>
      </c>
      <c r="R162" s="129">
        <f>Q162/Q125*R125</f>
        <v>8.5</v>
      </c>
      <c r="S162" s="106"/>
      <c r="T162" s="106"/>
      <c r="U162" s="250">
        <v>5.4</v>
      </c>
      <c r="V162" s="268"/>
      <c r="W162" s="106"/>
      <c r="X162" s="106"/>
      <c r="Y162" s="125"/>
      <c r="Z162" s="124"/>
    </row>
    <row r="163" spans="1:26" ht="16.5" thickBot="1">
      <c r="A163" s="346" t="str">
        <f>A64</f>
        <v>Лук репч.</v>
      </c>
      <c r="B163" s="347">
        <f>B64</f>
        <v>37</v>
      </c>
      <c r="C163" s="348" t="s">
        <v>73</v>
      </c>
      <c r="D163" s="387"/>
      <c r="E163" s="353"/>
      <c r="F163" s="338"/>
      <c r="G163" s="337"/>
      <c r="H163" s="338"/>
      <c r="I163" s="337"/>
      <c r="J163" s="338"/>
      <c r="K163" s="337"/>
      <c r="L163" s="337"/>
      <c r="M163" s="339">
        <f>M162*B124/1000</f>
        <v>0.86</v>
      </c>
      <c r="N163" s="339"/>
      <c r="O163" s="372"/>
      <c r="P163" s="350">
        <f>P162*B124/1000</f>
        <v>0</v>
      </c>
      <c r="Q163" s="349">
        <f>Q162*Q124/1000</f>
        <v>0.85</v>
      </c>
      <c r="R163" s="341">
        <f>ROUND(Q163,2)</f>
        <v>0.85</v>
      </c>
      <c r="S163" s="337"/>
      <c r="T163" s="337"/>
      <c r="U163" s="341">
        <f>U162*U124/1000</f>
        <v>0.54</v>
      </c>
      <c r="V163" s="353"/>
      <c r="W163" s="337"/>
      <c r="X163" s="337"/>
      <c r="Y163" s="343">
        <f>ROUND(E163+G163+I163+K163+L163+M163+N163+P163+R163+S163+T163+U163+V163+W163+X163,2)</f>
        <v>2.25</v>
      </c>
      <c r="Z163" s="351">
        <f>Y163*B163</f>
        <v>83.25</v>
      </c>
    </row>
    <row r="164" spans="1:26" ht="15" customHeight="1" thickTop="1">
      <c r="A164" s="133"/>
      <c r="B164" s="215"/>
      <c r="C164" s="77" t="s">
        <v>72</v>
      </c>
      <c r="D164" s="78"/>
      <c r="E164" s="268"/>
      <c r="F164" s="112"/>
      <c r="G164" s="106"/>
      <c r="H164" s="112"/>
      <c r="I164" s="106"/>
      <c r="J164" s="112"/>
      <c r="K164" s="106"/>
      <c r="L164" s="106"/>
      <c r="M164" s="127">
        <v>9.6</v>
      </c>
      <c r="N164" s="127"/>
      <c r="O164" s="403"/>
      <c r="P164" s="499"/>
      <c r="Q164" s="177">
        <f>13.3/80*Q125</f>
        <v>13.3</v>
      </c>
      <c r="R164" s="178">
        <f>Q164/Q125*R125</f>
        <v>13.3</v>
      </c>
      <c r="S164" s="106"/>
      <c r="T164" s="106"/>
      <c r="U164" s="127">
        <v>6</v>
      </c>
      <c r="V164" s="268"/>
      <c r="W164" s="106"/>
      <c r="X164" s="106"/>
      <c r="Y164" s="125"/>
      <c r="Z164" s="123"/>
    </row>
    <row r="165" spans="1:26" ht="16.5" thickBot="1">
      <c r="A165" s="346" t="str">
        <f>A66</f>
        <v>Морковь св.</v>
      </c>
      <c r="B165" s="347">
        <f>B66</f>
        <v>38</v>
      </c>
      <c r="C165" s="348" t="s">
        <v>73</v>
      </c>
      <c r="D165" s="387"/>
      <c r="E165" s="353"/>
      <c r="F165" s="338"/>
      <c r="G165" s="337"/>
      <c r="H165" s="338"/>
      <c r="I165" s="337"/>
      <c r="J165" s="338"/>
      <c r="K165" s="337"/>
      <c r="L165" s="337"/>
      <c r="M165" s="339">
        <f>M164*B124/1000</f>
        <v>0.96</v>
      </c>
      <c r="N165" s="339"/>
      <c r="O165" s="372"/>
      <c r="P165" s="350">
        <f>P164*B124/1000</f>
        <v>0</v>
      </c>
      <c r="Q165" s="349">
        <f>Q164*Q124/1000</f>
        <v>1.33</v>
      </c>
      <c r="R165" s="339">
        <f>Q165</f>
        <v>1.33</v>
      </c>
      <c r="S165" s="337"/>
      <c r="T165" s="337"/>
      <c r="U165" s="341">
        <f>U164*U124/1000</f>
        <v>0.6</v>
      </c>
      <c r="V165" s="353"/>
      <c r="W165" s="337"/>
      <c r="X165" s="337"/>
      <c r="Y165" s="343">
        <f>ROUND(E165+G165+I165+K165+L165+M165+N165+P165+R165+S165+T165+U165+V165+W165+X165,2)</f>
        <v>2.89</v>
      </c>
      <c r="Z165" s="344">
        <f>Y165*B165</f>
        <v>109.82000000000001</v>
      </c>
    </row>
    <row r="166" spans="1:26" ht="15" customHeight="1" thickTop="1">
      <c r="A166" s="133"/>
      <c r="B166" s="215"/>
      <c r="C166" s="77" t="s">
        <v>72</v>
      </c>
      <c r="D166" s="107"/>
      <c r="E166" s="129">
        <f>D166/D125*E125</f>
        <v>0</v>
      </c>
      <c r="F166" s="112"/>
      <c r="G166" s="106"/>
      <c r="H166" s="112"/>
      <c r="I166" s="106"/>
      <c r="J166" s="112"/>
      <c r="K166" s="106"/>
      <c r="L166" s="106"/>
      <c r="M166" s="127">
        <v>18</v>
      </c>
      <c r="N166" s="127"/>
      <c r="O166" s="403"/>
      <c r="P166" s="464"/>
      <c r="Q166" s="112"/>
      <c r="R166" s="106"/>
      <c r="S166" s="106"/>
      <c r="T166" s="106"/>
      <c r="U166" s="127"/>
      <c r="V166" s="268"/>
      <c r="W166" s="180"/>
      <c r="X166" s="106"/>
      <c r="Y166" s="125"/>
      <c r="Z166" s="123"/>
    </row>
    <row r="167" spans="1:26" ht="16.5" thickBot="1">
      <c r="A167" s="346" t="str">
        <f>A68</f>
        <v>Капуста св. б/к</v>
      </c>
      <c r="B167" s="347">
        <f>B68</f>
        <v>30</v>
      </c>
      <c r="C167" s="348" t="s">
        <v>73</v>
      </c>
      <c r="D167" s="363">
        <f>D166*F124/1000</f>
        <v>0</v>
      </c>
      <c r="E167" s="350">
        <f>D167</f>
        <v>0</v>
      </c>
      <c r="F167" s="338"/>
      <c r="G167" s="337"/>
      <c r="H167" s="338"/>
      <c r="I167" s="337"/>
      <c r="J167" s="338"/>
      <c r="K167" s="337"/>
      <c r="L167" s="337"/>
      <c r="M167" s="339">
        <f>M166*B124/1000</f>
        <v>1.8</v>
      </c>
      <c r="N167" s="339"/>
      <c r="O167" s="589"/>
      <c r="P167" s="463"/>
      <c r="Q167" s="338"/>
      <c r="R167" s="337"/>
      <c r="S167" s="337"/>
      <c r="T167" s="337"/>
      <c r="U167" s="340"/>
      <c r="V167" s="353"/>
      <c r="W167" s="358"/>
      <c r="X167" s="337"/>
      <c r="Y167" s="343">
        <f>ROUND(E167+G167+I167+K167+L167+M167+N167+P167+R167+S167+T167+U167+V167+W167+X167,2)</f>
        <v>1.8</v>
      </c>
      <c r="Z167" s="344">
        <f>Y167*B167</f>
        <v>54</v>
      </c>
    </row>
    <row r="168" spans="1:26" ht="15" customHeight="1" thickTop="1">
      <c r="A168" s="133"/>
      <c r="B168" s="215"/>
      <c r="C168" s="77" t="s">
        <v>72</v>
      </c>
      <c r="D168" s="489">
        <v>20</v>
      </c>
      <c r="E168" s="184">
        <f>D168/D125*E125</f>
        <v>20</v>
      </c>
      <c r="F168" s="112"/>
      <c r="G168" s="106"/>
      <c r="H168" s="112"/>
      <c r="I168" s="106"/>
      <c r="J168" s="112"/>
      <c r="K168" s="179">
        <f>K169/B124*1000</f>
        <v>10</v>
      </c>
      <c r="L168" s="106"/>
      <c r="M168" s="106"/>
      <c r="N168" s="106"/>
      <c r="O168" s="460"/>
      <c r="P168" s="464"/>
      <c r="Q168" s="177"/>
      <c r="R168" s="182"/>
      <c r="S168" s="106"/>
      <c r="T168" s="106"/>
      <c r="U168" s="106"/>
      <c r="V168" s="268"/>
      <c r="W168" s="106"/>
      <c r="X168" s="114"/>
      <c r="Y168" s="125"/>
      <c r="Z168" s="123"/>
    </row>
    <row r="169" spans="1:26" ht="16.5" thickBot="1">
      <c r="A169" s="346" t="str">
        <f>A70</f>
        <v>Батон витам.</v>
      </c>
      <c r="B169" s="347">
        <f>B70</f>
        <v>81.099999999999994</v>
      </c>
      <c r="C169" s="348" t="s">
        <v>73</v>
      </c>
      <c r="D169" s="490">
        <f>D168*F124/1000</f>
        <v>2</v>
      </c>
      <c r="E169" s="341">
        <f>D169</f>
        <v>2</v>
      </c>
      <c r="F169" s="338"/>
      <c r="G169" s="337"/>
      <c r="H169" s="338"/>
      <c r="I169" s="337"/>
      <c r="J169" s="338"/>
      <c r="K169" s="339">
        <v>1</v>
      </c>
      <c r="L169" s="337"/>
      <c r="M169" s="337"/>
      <c r="N169" s="337"/>
      <c r="O169" s="459"/>
      <c r="P169" s="463"/>
      <c r="Q169" s="349"/>
      <c r="R169" s="340"/>
      <c r="S169" s="337"/>
      <c r="T169" s="337"/>
      <c r="U169" s="337"/>
      <c r="V169" s="353"/>
      <c r="W169" s="337"/>
      <c r="X169" s="339"/>
      <c r="Y169" s="343">
        <f>ROUND(E169+G169+I169+K169+L169+M169+N169+P169+R169+S169+T169+U169+V169+W169+X169,2)</f>
        <v>3</v>
      </c>
      <c r="Z169" s="344">
        <f>Y169*B169</f>
        <v>243.29999999999998</v>
      </c>
    </row>
    <row r="170" spans="1:26" ht="15" customHeight="1" thickTop="1">
      <c r="A170" s="133"/>
      <c r="B170" s="213"/>
      <c r="C170" s="427" t="s">
        <v>72</v>
      </c>
      <c r="D170" s="78"/>
      <c r="E170" s="268"/>
      <c r="F170" s="112"/>
      <c r="G170" s="106"/>
      <c r="H170" s="112"/>
      <c r="I170" s="106"/>
      <c r="J170" s="112"/>
      <c r="K170" s="106"/>
      <c r="L170" s="106"/>
      <c r="M170" s="106"/>
      <c r="N170" s="106"/>
      <c r="O170" s="460"/>
      <c r="P170" s="464"/>
      <c r="Q170" s="112"/>
      <c r="R170" s="106"/>
      <c r="S170" s="106"/>
      <c r="T170" s="179">
        <f>T171/T124*1000</f>
        <v>30</v>
      </c>
      <c r="U170" s="106"/>
      <c r="V170" s="268"/>
      <c r="W170" s="106"/>
      <c r="X170" s="106"/>
      <c r="Y170" s="125"/>
      <c r="Z170" s="123"/>
    </row>
    <row r="171" spans="1:26" ht="16.5" thickBot="1">
      <c r="A171" s="346" t="str">
        <f>A72</f>
        <v>Хлеб рж-пшен.</v>
      </c>
      <c r="B171" s="347">
        <f>B72</f>
        <v>55</v>
      </c>
      <c r="C171" s="348" t="s">
        <v>73</v>
      </c>
      <c r="D171" s="387"/>
      <c r="E171" s="353"/>
      <c r="F171" s="338"/>
      <c r="G171" s="337"/>
      <c r="H171" s="338"/>
      <c r="I171" s="337"/>
      <c r="J171" s="338"/>
      <c r="K171" s="337"/>
      <c r="L171" s="337"/>
      <c r="M171" s="337"/>
      <c r="N171" s="337"/>
      <c r="O171" s="459"/>
      <c r="P171" s="463"/>
      <c r="Q171" s="338"/>
      <c r="R171" s="337"/>
      <c r="S171" s="337"/>
      <c r="T171" s="342">
        <v>3</v>
      </c>
      <c r="U171" s="337"/>
      <c r="V171" s="353"/>
      <c r="W171" s="337"/>
      <c r="X171" s="337"/>
      <c r="Y171" s="343">
        <f>ROUND(E171+G171+I171+K171+L171+M171+N171+P171+R171+S171+T171+U171+V171+W171+X171,2)</f>
        <v>3</v>
      </c>
      <c r="Z171" s="344">
        <f>Y171*B171</f>
        <v>165</v>
      </c>
    </row>
    <row r="172" spans="1:26" ht="15" customHeight="1" thickTop="1">
      <c r="A172" s="133"/>
      <c r="B172" s="213"/>
      <c r="C172" s="427" t="s">
        <v>72</v>
      </c>
      <c r="D172" s="78"/>
      <c r="E172" s="268"/>
      <c r="F172" s="112"/>
      <c r="G172" s="106"/>
      <c r="H172" s="112"/>
      <c r="I172" s="106"/>
      <c r="J172" s="112"/>
      <c r="K172" s="106"/>
      <c r="L172" s="106"/>
      <c r="M172" s="106"/>
      <c r="N172" s="106"/>
      <c r="O172" s="460"/>
      <c r="P172" s="464"/>
      <c r="Q172" s="112"/>
      <c r="R172" s="106"/>
      <c r="S172" s="106"/>
      <c r="T172" s="106"/>
      <c r="U172" s="106"/>
      <c r="V172" s="268"/>
      <c r="W172" s="106"/>
      <c r="X172" s="128">
        <f>X173/X124*1000</f>
        <v>10</v>
      </c>
      <c r="Y172" s="125"/>
      <c r="Z172" s="123"/>
    </row>
    <row r="173" spans="1:26" ht="16.5" customHeight="1" thickBot="1">
      <c r="A173" s="346" t="str">
        <f>A74</f>
        <v xml:space="preserve">Хлеб  йод. пш. </v>
      </c>
      <c r="B173" s="347">
        <f>B74</f>
        <v>61.3</v>
      </c>
      <c r="C173" s="348" t="s">
        <v>73</v>
      </c>
      <c r="D173" s="387"/>
      <c r="E173" s="353"/>
      <c r="F173" s="338"/>
      <c r="G173" s="337"/>
      <c r="H173" s="338"/>
      <c r="I173" s="337"/>
      <c r="J173" s="338"/>
      <c r="K173" s="337"/>
      <c r="L173" s="337"/>
      <c r="M173" s="337"/>
      <c r="N173" s="337"/>
      <c r="O173" s="459"/>
      <c r="P173" s="463"/>
      <c r="Q173" s="338"/>
      <c r="R173" s="337"/>
      <c r="S173" s="337"/>
      <c r="T173" s="337"/>
      <c r="U173" s="337"/>
      <c r="V173" s="353"/>
      <c r="W173" s="337"/>
      <c r="X173" s="342">
        <v>1</v>
      </c>
      <c r="Y173" s="343">
        <f>ROUND(E173+G173+I173+K173+L173+M173+N173+P173+R173+S173+T173+U173+V173+W173+X173,2)</f>
        <v>1</v>
      </c>
      <c r="Z173" s="344">
        <f>Y173*B173</f>
        <v>61.3</v>
      </c>
    </row>
    <row r="174" spans="1:26" ht="15" customHeight="1" thickTop="1">
      <c r="A174" s="133"/>
      <c r="B174" s="213"/>
      <c r="C174" s="427" t="s">
        <v>72</v>
      </c>
      <c r="D174" s="78"/>
      <c r="E174" s="268"/>
      <c r="F174" s="90"/>
      <c r="G174" s="129"/>
      <c r="H174" s="112"/>
      <c r="I174" s="179"/>
      <c r="J174" s="112"/>
      <c r="K174" s="106"/>
      <c r="L174" s="106"/>
      <c r="M174" s="106"/>
      <c r="N174" s="106"/>
      <c r="O174" s="460"/>
      <c r="P174" s="464"/>
      <c r="Q174" s="112"/>
      <c r="R174" s="106"/>
      <c r="S174" s="106"/>
      <c r="T174" s="106"/>
      <c r="U174" s="106"/>
      <c r="V174" s="268"/>
      <c r="W174" s="127">
        <v>2</v>
      </c>
      <c r="X174" s="127"/>
      <c r="Y174" s="125"/>
      <c r="Z174" s="123"/>
    </row>
    <row r="175" spans="1:26" ht="16.5" thickBot="1">
      <c r="A175" s="346" t="str">
        <f>A76</f>
        <v>Кофейн.напит.</v>
      </c>
      <c r="B175" s="347">
        <f>B76</f>
        <v>550</v>
      </c>
      <c r="C175" s="348" t="s">
        <v>73</v>
      </c>
      <c r="D175" s="385"/>
      <c r="E175" s="353"/>
      <c r="F175" s="363"/>
      <c r="G175" s="350"/>
      <c r="H175" s="338"/>
      <c r="I175" s="340"/>
      <c r="J175" s="338"/>
      <c r="K175" s="337"/>
      <c r="L175" s="337"/>
      <c r="M175" s="337"/>
      <c r="N175" s="337"/>
      <c r="O175" s="372"/>
      <c r="P175" s="463"/>
      <c r="Q175" s="338"/>
      <c r="R175" s="388"/>
      <c r="S175" s="337"/>
      <c r="T175" s="337"/>
      <c r="U175" s="337"/>
      <c r="V175" s="353"/>
      <c r="W175" s="339">
        <f>W174*B124/1000</f>
        <v>0.2</v>
      </c>
      <c r="X175" s="337"/>
      <c r="Y175" s="343">
        <f>ROUND(E175+G175+I175+K175+L175+M175+N175+O175+P175+R175+S175+T175+U175+V175+W175+X175,2)</f>
        <v>0.2</v>
      </c>
      <c r="Z175" s="344">
        <f>Y175*B175</f>
        <v>110</v>
      </c>
    </row>
    <row r="176" spans="1:26" ht="15" customHeight="1" thickTop="1">
      <c r="A176" s="133"/>
      <c r="B176" s="215"/>
      <c r="C176" s="77" t="s">
        <v>72</v>
      </c>
      <c r="D176" s="287"/>
      <c r="E176" s="268"/>
      <c r="F176" s="112"/>
      <c r="G176" s="106"/>
      <c r="H176" s="112">
        <v>0.3</v>
      </c>
      <c r="I176" s="128">
        <f>H176/H125*I125</f>
        <v>0.3</v>
      </c>
      <c r="J176" s="112"/>
      <c r="K176" s="106"/>
      <c r="L176" s="106"/>
      <c r="M176" s="106"/>
      <c r="N176" s="106"/>
      <c r="O176" s="460"/>
      <c r="P176" s="464"/>
      <c r="Q176" s="112"/>
      <c r="R176" s="106"/>
      <c r="S176" s="106"/>
      <c r="T176" s="106"/>
      <c r="U176" s="106"/>
      <c r="V176" s="268"/>
      <c r="W176" s="127"/>
      <c r="X176" s="106"/>
      <c r="Y176" s="125"/>
      <c r="Z176" s="123"/>
    </row>
    <row r="177" spans="1:27" ht="16.5" thickBot="1">
      <c r="A177" s="346" t="str">
        <f>A78</f>
        <v>Чай</v>
      </c>
      <c r="B177" s="347">
        <f>B78</f>
        <v>500</v>
      </c>
      <c r="C177" s="348" t="s">
        <v>73</v>
      </c>
      <c r="D177" s="385"/>
      <c r="E177" s="353"/>
      <c r="F177" s="338"/>
      <c r="G177" s="337"/>
      <c r="H177" s="338">
        <f>H176*F124/1000</f>
        <v>0.03</v>
      </c>
      <c r="I177" s="357">
        <f>H177</f>
        <v>0.03</v>
      </c>
      <c r="J177" s="338"/>
      <c r="K177" s="337"/>
      <c r="L177" s="337"/>
      <c r="M177" s="337"/>
      <c r="N177" s="337"/>
      <c r="O177" s="459"/>
      <c r="P177" s="463"/>
      <c r="Q177" s="338"/>
      <c r="R177" s="337"/>
      <c r="S177" s="337"/>
      <c r="T177" s="337"/>
      <c r="U177" s="337"/>
      <c r="V177" s="353"/>
      <c r="W177" s="355"/>
      <c r="X177" s="337"/>
      <c r="Y177" s="356">
        <f>ROUND(E177+G177+I177+K177+L177+M177+N177+P177+R177+S177+T177+U177+V177+W177+X177,3)</f>
        <v>0.03</v>
      </c>
      <c r="Z177" s="344">
        <f>Y177*B177</f>
        <v>15</v>
      </c>
    </row>
    <row r="178" spans="1:27" ht="15" customHeight="1" thickTop="1">
      <c r="A178" s="133"/>
      <c r="B178" s="213"/>
      <c r="C178" s="427" t="s">
        <v>72</v>
      </c>
      <c r="D178" s="287"/>
      <c r="E178" s="268"/>
      <c r="F178" s="112"/>
      <c r="G178" s="106"/>
      <c r="H178" s="112"/>
      <c r="I178" s="106"/>
      <c r="J178" s="112"/>
      <c r="K178" s="106"/>
      <c r="L178" s="114"/>
      <c r="M178" s="106"/>
      <c r="N178" s="127"/>
      <c r="O178" s="460"/>
      <c r="P178" s="464"/>
      <c r="Q178" s="112"/>
      <c r="R178" s="106"/>
      <c r="S178" s="127">
        <v>0.15</v>
      </c>
      <c r="T178" s="106"/>
      <c r="U178" s="106"/>
      <c r="V178" s="129"/>
      <c r="W178" s="127"/>
      <c r="X178" s="106"/>
      <c r="Y178" s="125"/>
      <c r="Z178" s="123"/>
    </row>
    <row r="179" spans="1:27" ht="16.5" thickBot="1">
      <c r="A179" s="346" t="str">
        <f>A80</f>
        <v>Лимонная к-та</v>
      </c>
      <c r="B179" s="347">
        <f>B80</f>
        <v>900</v>
      </c>
      <c r="C179" s="348" t="s">
        <v>73</v>
      </c>
      <c r="D179" s="385"/>
      <c r="E179" s="353"/>
      <c r="F179" s="338"/>
      <c r="G179" s="337"/>
      <c r="H179" s="338"/>
      <c r="I179" s="337"/>
      <c r="J179" s="338"/>
      <c r="K179" s="337"/>
      <c r="L179" s="342"/>
      <c r="M179" s="337"/>
      <c r="N179" s="340"/>
      <c r="O179" s="459"/>
      <c r="P179" s="463"/>
      <c r="Q179" s="338"/>
      <c r="R179" s="337"/>
      <c r="S179" s="357">
        <f>S178*B124/1000</f>
        <v>1.4999999999999999E-2</v>
      </c>
      <c r="T179" s="337"/>
      <c r="U179" s="337"/>
      <c r="V179" s="367"/>
      <c r="W179" s="342"/>
      <c r="X179" s="337"/>
      <c r="Y179" s="356">
        <f>ROUND(E179+G179+I179+K179+L179+M179+N179+P179+R179+S179+T179+U179+V179+W179+X179,3)</f>
        <v>1.4999999999999999E-2</v>
      </c>
      <c r="Z179" s="344">
        <f>Y179*B179</f>
        <v>13.5</v>
      </c>
    </row>
    <row r="180" spans="1:27" ht="15" customHeight="1" thickTop="1">
      <c r="A180" s="133"/>
      <c r="B180" s="213"/>
      <c r="C180" s="427" t="s">
        <v>72</v>
      </c>
      <c r="D180" s="287"/>
      <c r="E180" s="268"/>
      <c r="F180" s="112"/>
      <c r="G180" s="106"/>
      <c r="H180" s="112"/>
      <c r="I180" s="106"/>
      <c r="J180" s="112"/>
      <c r="K180" s="106"/>
      <c r="L180" s="106"/>
      <c r="M180" s="128"/>
      <c r="N180" s="127"/>
      <c r="O180" s="403"/>
      <c r="P180" s="464"/>
      <c r="Q180" s="112"/>
      <c r="R180" s="178"/>
      <c r="S180" s="106"/>
      <c r="T180" s="106"/>
      <c r="U180" s="127"/>
      <c r="V180" s="268"/>
      <c r="W180" s="106"/>
      <c r="X180" s="106"/>
      <c r="Y180" s="125"/>
      <c r="Z180" s="123"/>
    </row>
    <row r="181" spans="1:27" ht="16.5" thickBot="1">
      <c r="A181" s="346" t="str">
        <f>A82</f>
        <v>Огурцы  конс.</v>
      </c>
      <c r="B181" s="347">
        <f>B82</f>
        <v>85</v>
      </c>
      <c r="C181" s="348" t="s">
        <v>73</v>
      </c>
      <c r="D181" s="385"/>
      <c r="E181" s="353"/>
      <c r="F181" s="338"/>
      <c r="G181" s="337"/>
      <c r="H181" s="338"/>
      <c r="I181" s="337"/>
      <c r="J181" s="338"/>
      <c r="K181" s="337"/>
      <c r="L181" s="337"/>
      <c r="M181" s="339"/>
      <c r="N181" s="339"/>
      <c r="O181" s="420"/>
      <c r="P181" s="378">
        <f>P180*B124/1000</f>
        <v>0</v>
      </c>
      <c r="Q181" s="349"/>
      <c r="R181" s="340"/>
      <c r="S181" s="337"/>
      <c r="T181" s="337"/>
      <c r="U181" s="341">
        <f>U180*U124/1000</f>
        <v>0</v>
      </c>
      <c r="V181" s="353"/>
      <c r="W181" s="337"/>
      <c r="X181" s="337"/>
      <c r="Y181" s="343">
        <f>ROUND(E181+G181+I181+K181+L181+M181+N181+P181+R181+S181+T181+U181+V181+W181+X181,2)</f>
        <v>0</v>
      </c>
      <c r="Z181" s="344">
        <f>Y181*B181</f>
        <v>0</v>
      </c>
    </row>
    <row r="182" spans="1:27" ht="15.75" customHeight="1" thickTop="1">
      <c r="A182" s="133"/>
      <c r="B182" s="213"/>
      <c r="C182" s="427" t="s">
        <v>72</v>
      </c>
      <c r="D182" s="287"/>
      <c r="E182" s="271"/>
      <c r="F182" s="112"/>
      <c r="G182" s="105"/>
      <c r="H182" s="112"/>
      <c r="I182" s="105"/>
      <c r="J182" s="112"/>
      <c r="K182" s="105"/>
      <c r="L182" s="105"/>
      <c r="M182" s="105"/>
      <c r="N182" s="105"/>
      <c r="O182" s="461"/>
      <c r="P182" s="499"/>
      <c r="Q182" s="112"/>
      <c r="R182" s="179"/>
      <c r="S182" s="127"/>
      <c r="T182" s="105"/>
      <c r="U182" s="250">
        <v>8.1999999999999993</v>
      </c>
      <c r="V182" s="271"/>
      <c r="W182" s="105"/>
      <c r="X182" s="105"/>
      <c r="Y182" s="125"/>
      <c r="Z182" s="123"/>
    </row>
    <row r="183" spans="1:27" ht="16.5" thickBot="1">
      <c r="A183" s="346" t="str">
        <f>A84</f>
        <v>Свекла стол.</v>
      </c>
      <c r="B183" s="347">
        <f>B84</f>
        <v>28</v>
      </c>
      <c r="C183" s="348" t="s">
        <v>73</v>
      </c>
      <c r="D183" s="385"/>
      <c r="E183" s="353"/>
      <c r="F183" s="338"/>
      <c r="G183" s="337"/>
      <c r="H183" s="338"/>
      <c r="I183" s="337"/>
      <c r="J183" s="338"/>
      <c r="K183" s="337"/>
      <c r="L183" s="337"/>
      <c r="M183" s="337"/>
      <c r="N183" s="337"/>
      <c r="O183" s="459"/>
      <c r="P183" s="350">
        <f>P182*B124/1000</f>
        <v>0</v>
      </c>
      <c r="Q183" s="338"/>
      <c r="R183" s="340"/>
      <c r="S183" s="339"/>
      <c r="T183" s="337"/>
      <c r="U183" s="339">
        <f>U182*B124/1000</f>
        <v>0.81999999999999984</v>
      </c>
      <c r="V183" s="353"/>
      <c r="W183" s="337"/>
      <c r="X183" s="337"/>
      <c r="Y183" s="343">
        <f>ROUND(E183+G183+I183+K183+L183+M183+N183+P183+R183+S183+T183+U183+V183+W183+X183,2)</f>
        <v>0.82</v>
      </c>
      <c r="Z183" s="344">
        <f>Y183*B183</f>
        <v>22.959999999999997</v>
      </c>
    </row>
    <row r="184" spans="1:27" ht="15" customHeight="1" thickTop="1">
      <c r="A184" s="133"/>
      <c r="B184" s="122"/>
      <c r="C184" s="77" t="s">
        <v>72</v>
      </c>
      <c r="D184" s="489">
        <v>10.6</v>
      </c>
      <c r="E184" s="184">
        <f>D184/D125*E125</f>
        <v>10.6</v>
      </c>
      <c r="F184" s="112"/>
      <c r="G184" s="106"/>
      <c r="H184" s="112"/>
      <c r="I184" s="106"/>
      <c r="J184" s="112"/>
      <c r="K184" s="179"/>
      <c r="L184" s="106"/>
      <c r="M184" s="106"/>
      <c r="N184" s="106"/>
      <c r="O184" s="460"/>
      <c r="P184" s="464"/>
      <c r="Q184" s="177"/>
      <c r="R184" s="182"/>
      <c r="S184" s="106"/>
      <c r="T184" s="106"/>
      <c r="U184" s="106"/>
      <c r="V184" s="268"/>
      <c r="W184" s="106"/>
      <c r="X184" s="970"/>
      <c r="Y184" s="125"/>
      <c r="Z184" s="123"/>
      <c r="AA184" s="7"/>
    </row>
    <row r="185" spans="1:27" ht="15" customHeight="1" thickBot="1">
      <c r="A185" s="346" t="str">
        <f>A86</f>
        <v>Сыр</v>
      </c>
      <c r="B185" s="347">
        <v>540</v>
      </c>
      <c r="C185" s="348" t="s">
        <v>73</v>
      </c>
      <c r="D185" s="490">
        <f>D184*F124/1000</f>
        <v>1.06</v>
      </c>
      <c r="E185" s="341">
        <f>D185</f>
        <v>1.06</v>
      </c>
      <c r="F185" s="338"/>
      <c r="G185" s="337"/>
      <c r="H185" s="338"/>
      <c r="I185" s="337"/>
      <c r="J185" s="338"/>
      <c r="K185" s="339"/>
      <c r="L185" s="337"/>
      <c r="M185" s="337"/>
      <c r="N185" s="337"/>
      <c r="O185" s="459"/>
      <c r="P185" s="463"/>
      <c r="Q185" s="349"/>
      <c r="R185" s="340"/>
      <c r="S185" s="337"/>
      <c r="T185" s="337"/>
      <c r="U185" s="337"/>
      <c r="V185" s="353"/>
      <c r="W185" s="337"/>
      <c r="X185" s="372"/>
      <c r="Y185" s="343">
        <f>ROUND(E185+G185+I185+K185+L185+M185+N185+P185+R185+S185+T185+U185+V185+W185+X185,2)</f>
        <v>1.06</v>
      </c>
      <c r="Z185" s="344">
        <f>Y185*B185</f>
        <v>572.4</v>
      </c>
      <c r="AA185" s="7"/>
    </row>
    <row r="186" spans="1:27" ht="15" customHeight="1">
      <c r="A186" s="964"/>
      <c r="B186" s="965"/>
      <c r="C186" s="294"/>
      <c r="D186" s="966"/>
      <c r="E186" s="967"/>
      <c r="F186" s="109"/>
      <c r="G186" s="94"/>
      <c r="H186" s="109"/>
      <c r="I186" s="94"/>
      <c r="J186" s="109"/>
      <c r="K186" s="94"/>
      <c r="L186" s="94"/>
      <c r="M186" s="410"/>
      <c r="N186" s="94"/>
      <c r="O186" s="458"/>
      <c r="P186" s="968"/>
      <c r="Q186" s="429"/>
      <c r="R186" s="967"/>
      <c r="S186" s="94"/>
      <c r="T186" s="94"/>
      <c r="U186" s="969"/>
      <c r="V186" s="410"/>
      <c r="W186" s="94"/>
      <c r="X186" s="94"/>
      <c r="Y186" s="125"/>
      <c r="Z186" s="237"/>
    </row>
    <row r="187" spans="1:27" ht="16.5" thickBot="1">
      <c r="A187" s="346" t="str">
        <f>A88</f>
        <v>Паста томатная</v>
      </c>
      <c r="B187" s="347">
        <f>B88</f>
        <v>370</v>
      </c>
      <c r="C187" s="348" t="s">
        <v>73</v>
      </c>
      <c r="D187" s="385"/>
      <c r="E187" s="350"/>
      <c r="F187" s="338"/>
      <c r="G187" s="337"/>
      <c r="H187" s="338"/>
      <c r="I187" s="337"/>
      <c r="J187" s="338"/>
      <c r="K187" s="337"/>
      <c r="L187" s="337"/>
      <c r="M187" s="350"/>
      <c r="N187" s="337"/>
      <c r="O187" s="459"/>
      <c r="P187" s="350">
        <f>P184*B124/1000</f>
        <v>0</v>
      </c>
      <c r="Q187" s="349"/>
      <c r="R187" s="341"/>
      <c r="S187" s="337"/>
      <c r="T187" s="337"/>
      <c r="U187" s="340"/>
      <c r="V187" s="350"/>
      <c r="W187" s="337"/>
      <c r="X187" s="337"/>
      <c r="Y187" s="343">
        <f>ROUND(E187+G187+I187+K187+L187+M187+N187+P187+R187+S187+T187+U187+V187+W187+X187,2)</f>
        <v>0</v>
      </c>
      <c r="Z187" s="344">
        <f>Y187*B187</f>
        <v>0</v>
      </c>
    </row>
    <row r="188" spans="1:27" ht="15" customHeight="1" thickTop="1">
      <c r="A188" s="133"/>
      <c r="B188" s="122"/>
      <c r="C188" s="77" t="s">
        <v>72</v>
      </c>
      <c r="D188" s="305"/>
      <c r="E188" s="268"/>
      <c r="F188" s="112">
        <v>0.8</v>
      </c>
      <c r="G188" s="179">
        <f>G189/B124*1000</f>
        <v>0.8</v>
      </c>
      <c r="H188" s="112"/>
      <c r="I188" s="106"/>
      <c r="J188" s="112"/>
      <c r="K188" s="106"/>
      <c r="L188" s="106"/>
      <c r="M188" s="127">
        <v>0.3</v>
      </c>
      <c r="N188" s="180"/>
      <c r="O188" s="127">
        <v>1</v>
      </c>
      <c r="P188" s="499"/>
      <c r="Q188" s="112">
        <v>0.5</v>
      </c>
      <c r="R188" s="179">
        <f>R189/B124*1000</f>
        <v>0.5</v>
      </c>
      <c r="S188" s="106"/>
      <c r="T188" s="106"/>
      <c r="U188" s="247">
        <v>0.06</v>
      </c>
      <c r="V188" s="272">
        <v>0.6</v>
      </c>
      <c r="W188" s="106"/>
      <c r="X188" s="106"/>
      <c r="Y188" s="125"/>
      <c r="Z188" s="123"/>
    </row>
    <row r="189" spans="1:27" ht="16.5" thickBot="1">
      <c r="A189" s="346" t="str">
        <f>A90</f>
        <v>Соль иодиров.</v>
      </c>
      <c r="B189" s="347">
        <f>B90</f>
        <v>28</v>
      </c>
      <c r="C189" s="348" t="s">
        <v>73</v>
      </c>
      <c r="D189" s="385"/>
      <c r="E189" s="353"/>
      <c r="F189" s="338">
        <f>F188*F124/1000</f>
        <v>0.08</v>
      </c>
      <c r="G189" s="339">
        <f>ROUND(F189,2)</f>
        <v>0.08</v>
      </c>
      <c r="H189" s="338"/>
      <c r="I189" s="337"/>
      <c r="J189" s="338"/>
      <c r="K189" s="337"/>
      <c r="L189" s="337"/>
      <c r="M189" s="339">
        <f>M188*B124/1000</f>
        <v>0.03</v>
      </c>
      <c r="N189" s="339"/>
      <c r="O189" s="339">
        <f>O188*B124/1000</f>
        <v>0.1</v>
      </c>
      <c r="P189" s="350">
        <f>P188*B124/1000</f>
        <v>0</v>
      </c>
      <c r="Q189" s="349">
        <f>Q188*Q124/1000</f>
        <v>0.05</v>
      </c>
      <c r="R189" s="339">
        <f>Q189</f>
        <v>0.05</v>
      </c>
      <c r="S189" s="337"/>
      <c r="T189" s="337"/>
      <c r="U189" s="339">
        <f>U188*E124/1000</f>
        <v>6.0000000000000001E-3</v>
      </c>
      <c r="V189" s="341">
        <f>V188*B124/1000</f>
        <v>0.06</v>
      </c>
      <c r="W189" s="337"/>
      <c r="X189" s="337"/>
      <c r="Y189" s="343">
        <f>ROUND(E189+G189+I189+K189+L189+M189+N189+O189+P189+R189+S189+T189+U189+V189+W189+X189,2)</f>
        <v>0.33</v>
      </c>
      <c r="Z189" s="344">
        <f>Y189*B189</f>
        <v>9.24</v>
      </c>
    </row>
    <row r="190" spans="1:27" ht="15" customHeight="1" thickTop="1">
      <c r="A190" s="133"/>
      <c r="B190" s="122"/>
      <c r="C190" s="77" t="s">
        <v>72</v>
      </c>
      <c r="D190" s="287"/>
      <c r="E190" s="268"/>
      <c r="F190" s="112"/>
      <c r="G190" s="106"/>
      <c r="H190" s="112"/>
      <c r="I190" s="106"/>
      <c r="J190" s="112"/>
      <c r="K190" s="106"/>
      <c r="L190" s="106"/>
      <c r="M190" s="106"/>
      <c r="N190" s="106"/>
      <c r="O190" s="460"/>
      <c r="P190" s="464"/>
      <c r="Q190" s="177"/>
      <c r="R190" s="182"/>
      <c r="S190" s="106"/>
      <c r="T190" s="106"/>
      <c r="U190" s="106"/>
      <c r="V190" s="127">
        <v>0.32</v>
      </c>
      <c r="W190" s="106"/>
      <c r="X190" s="106"/>
      <c r="Y190" s="125"/>
      <c r="Z190" s="123"/>
    </row>
    <row r="191" spans="1:27" ht="16.5" thickBot="1">
      <c r="A191" s="346" t="str">
        <f>A92</f>
        <v>Дрожжи</v>
      </c>
      <c r="B191" s="347">
        <f>B92</f>
        <v>950</v>
      </c>
      <c r="C191" s="348" t="s">
        <v>73</v>
      </c>
      <c r="D191" s="385"/>
      <c r="E191" s="353"/>
      <c r="F191" s="338"/>
      <c r="G191" s="337"/>
      <c r="H191" s="338"/>
      <c r="I191" s="337"/>
      <c r="J191" s="338"/>
      <c r="K191" s="337"/>
      <c r="L191" s="337"/>
      <c r="M191" s="337"/>
      <c r="N191" s="337"/>
      <c r="O191" s="459"/>
      <c r="P191" s="463"/>
      <c r="Q191" s="349"/>
      <c r="R191" s="340"/>
      <c r="S191" s="337"/>
      <c r="T191" s="337"/>
      <c r="U191" s="337"/>
      <c r="V191" s="814">
        <f>V190*B124/1000</f>
        <v>3.2000000000000001E-2</v>
      </c>
      <c r="W191" s="337"/>
      <c r="X191" s="337"/>
      <c r="Y191" s="356">
        <f>ROUND(E191+G191+I191+K191+L191+M191+N191+P191+R191+S191+T191+U191+V191+W191+X191,3)</f>
        <v>3.2000000000000001E-2</v>
      </c>
      <c r="Z191" s="344">
        <f>Y191*B191</f>
        <v>30.400000000000002</v>
      </c>
    </row>
    <row r="192" spans="1:27" ht="15.75" thickTop="1">
      <c r="A192" s="133"/>
      <c r="B192" s="122"/>
      <c r="C192" s="77" t="s">
        <v>72</v>
      </c>
      <c r="D192" s="287"/>
      <c r="E192" s="268"/>
      <c r="F192" s="112"/>
      <c r="G192" s="106"/>
      <c r="H192" s="112"/>
      <c r="I192" s="106"/>
      <c r="J192" s="112"/>
      <c r="K192" s="106"/>
      <c r="L192" s="106"/>
      <c r="M192" s="106"/>
      <c r="N192" s="127"/>
      <c r="O192" s="403"/>
      <c r="P192" s="464"/>
      <c r="Q192" s="112"/>
      <c r="R192" s="178"/>
      <c r="S192" s="127"/>
      <c r="T192" s="106"/>
      <c r="U192" s="127"/>
      <c r="V192" s="272">
        <v>2.15</v>
      </c>
      <c r="W192" s="106"/>
      <c r="X192" s="106"/>
      <c r="Y192" s="125"/>
      <c r="Z192" s="123"/>
    </row>
    <row r="193" spans="1:26" ht="16.5" thickBot="1">
      <c r="A193" s="346" t="str">
        <f>A94</f>
        <v>Изюм</v>
      </c>
      <c r="B193" s="347">
        <f>B94</f>
        <v>292</v>
      </c>
      <c r="C193" s="348" t="s">
        <v>73</v>
      </c>
      <c r="D193" s="385"/>
      <c r="E193" s="353"/>
      <c r="F193" s="338"/>
      <c r="G193" s="337"/>
      <c r="H193" s="338"/>
      <c r="I193" s="337"/>
      <c r="J193" s="338"/>
      <c r="K193" s="337"/>
      <c r="L193" s="337"/>
      <c r="M193" s="339"/>
      <c r="N193" s="340"/>
      <c r="O193" s="420"/>
      <c r="P193" s="378">
        <f>P192*B134/1000</f>
        <v>0</v>
      </c>
      <c r="Q193" s="349"/>
      <c r="R193" s="340"/>
      <c r="S193" s="355"/>
      <c r="T193" s="337"/>
      <c r="U193" s="350"/>
      <c r="V193" s="341">
        <f>V192*B124/1000</f>
        <v>0.215</v>
      </c>
      <c r="W193" s="337"/>
      <c r="X193" s="337"/>
      <c r="Y193" s="356">
        <f>ROUND(E193+G193+I193+K193+L193+M193+N193+P193+R193+S193+T193+U193+V193+W193+X193,3)</f>
        <v>0.215</v>
      </c>
      <c r="Z193" s="344">
        <f>Y193*B193</f>
        <v>62.78</v>
      </c>
    </row>
    <row r="194" spans="1:26" ht="15.75">
      <c r="A194" s="136"/>
      <c r="B194" s="6"/>
      <c r="C194" s="75"/>
      <c r="D194" s="298"/>
      <c r="E194" s="271"/>
      <c r="F194" s="112"/>
      <c r="G194" s="105"/>
      <c r="H194" s="112"/>
      <c r="I194" s="105"/>
      <c r="J194" s="112"/>
      <c r="K194" s="105"/>
      <c r="L194" s="105"/>
      <c r="M194" s="105"/>
      <c r="N194" s="105"/>
      <c r="O194" s="592"/>
      <c r="P194" s="464"/>
      <c r="Q194" s="112"/>
      <c r="R194" s="105"/>
      <c r="S194" s="105"/>
      <c r="T194" s="105"/>
      <c r="U194" s="105"/>
      <c r="V194" s="271"/>
      <c r="W194" s="105"/>
      <c r="X194" s="105"/>
      <c r="Y194" s="125"/>
      <c r="Z194" s="126">
        <f>Z127+Z129+Z131+Z133+Z135+Z137+Z139+Z141+Z143+Z145+Z147+Z149+Z159+Z161+Z163+Z165+Z167+Z169+Z171+Z173+Z175+Z177+Z179+Z181+Z183+Z185+Z187+Z189+Z191+Z193</f>
        <v>10597.349199999997</v>
      </c>
    </row>
    <row r="195" spans="1:26">
      <c r="A195" s="43" t="s">
        <v>315</v>
      </c>
      <c r="S195" s="43" t="s">
        <v>30</v>
      </c>
    </row>
    <row r="196" spans="1:26">
      <c r="A196" s="43" t="s">
        <v>50</v>
      </c>
      <c r="S196" s="43" t="s">
        <v>31</v>
      </c>
      <c r="Z196" s="220">
        <f>K112</f>
        <v>11000</v>
      </c>
    </row>
    <row r="197" spans="1:26">
      <c r="A197" s="43" t="s">
        <v>318</v>
      </c>
      <c r="S197" s="43" t="s">
        <v>32</v>
      </c>
    </row>
    <row r="198" spans="1:26">
      <c r="A198" s="43" t="s">
        <v>37</v>
      </c>
      <c r="S198" s="43" t="s">
        <v>31</v>
      </c>
    </row>
  </sheetData>
  <mergeCells count="159">
    <mergeCell ref="Q9:R9"/>
    <mergeCell ref="B10:C10"/>
    <mergeCell ref="K10:N10"/>
    <mergeCell ref="H21:I23"/>
    <mergeCell ref="J21:K23"/>
    <mergeCell ref="L21:L23"/>
    <mergeCell ref="N21:N23"/>
    <mergeCell ref="Q11:R11"/>
    <mergeCell ref="K13:N13"/>
    <mergeCell ref="E19:K20"/>
    <mergeCell ref="N19:T20"/>
    <mergeCell ref="O21:O23"/>
    <mergeCell ref="S11:X12"/>
    <mergeCell ref="B9:C9"/>
    <mergeCell ref="E9:G9"/>
    <mergeCell ref="H9:J9"/>
    <mergeCell ref="K9:N9"/>
    <mergeCell ref="U19:X20"/>
    <mergeCell ref="X21:X23"/>
    <mergeCell ref="P21:P23"/>
    <mergeCell ref="S21:S23"/>
    <mergeCell ref="T21:T23"/>
    <mergeCell ref="U21:U23"/>
    <mergeCell ref="O13:P13"/>
    <mergeCell ref="O3:Z3"/>
    <mergeCell ref="D154:D156"/>
    <mergeCell ref="V154:W156"/>
    <mergeCell ref="D21:D23"/>
    <mergeCell ref="D120:D122"/>
    <mergeCell ref="Q108:R108"/>
    <mergeCell ref="Q110:R110"/>
    <mergeCell ref="E21:E23"/>
    <mergeCell ref="M21:M23"/>
    <mergeCell ref="F21:G23"/>
    <mergeCell ref="Q21:Q23"/>
    <mergeCell ref="R21:R23"/>
    <mergeCell ref="V21:V23"/>
    <mergeCell ref="W21:W23"/>
    <mergeCell ref="E154:E156"/>
    <mergeCell ref="F154:G156"/>
    <mergeCell ref="H154:I156"/>
    <mergeCell ref="J154:K156"/>
    <mergeCell ref="L154:L156"/>
    <mergeCell ref="N154:N156"/>
    <mergeCell ref="M154:M156"/>
    <mergeCell ref="S106:W107"/>
    <mergeCell ref="O107:P107"/>
    <mergeCell ref="Q107:R107"/>
    <mergeCell ref="Q8:R8"/>
    <mergeCell ref="A7:C7"/>
    <mergeCell ref="E7:G7"/>
    <mergeCell ref="H7:J7"/>
    <mergeCell ref="K7:N7"/>
    <mergeCell ref="O7:P7"/>
    <mergeCell ref="Q7:R7"/>
    <mergeCell ref="Z6:AA6"/>
    <mergeCell ref="S7:W8"/>
    <mergeCell ref="X7:Y7"/>
    <mergeCell ref="Z7:AA7"/>
    <mergeCell ref="A6:C6"/>
    <mergeCell ref="E6:G6"/>
    <mergeCell ref="H6:J6"/>
    <mergeCell ref="K6:N6"/>
    <mergeCell ref="B8:C8"/>
    <mergeCell ref="E8:G8"/>
    <mergeCell ref="H8:J8"/>
    <mergeCell ref="K8:N8"/>
    <mergeCell ref="O8:P8"/>
    <mergeCell ref="E53:K54"/>
    <mergeCell ref="N53:T54"/>
    <mergeCell ref="U53:X54"/>
    <mergeCell ref="Y53:Z53"/>
    <mergeCell ref="Y54:Z54"/>
    <mergeCell ref="X55:X57"/>
    <mergeCell ref="O55:O57"/>
    <mergeCell ref="P55:P57"/>
    <mergeCell ref="Q55:R57"/>
    <mergeCell ref="S55:S57"/>
    <mergeCell ref="T55:T57"/>
    <mergeCell ref="U55:U57"/>
    <mergeCell ref="E55:E57"/>
    <mergeCell ref="F55:G57"/>
    <mergeCell ref="H55:I57"/>
    <mergeCell ref="J55:K57"/>
    <mergeCell ref="L55:L57"/>
    <mergeCell ref="N55:N57"/>
    <mergeCell ref="M55:M57"/>
    <mergeCell ref="B107:C107"/>
    <mergeCell ref="E107:G107"/>
    <mergeCell ref="H107:J107"/>
    <mergeCell ref="K107:N107"/>
    <mergeCell ref="A106:C106"/>
    <mergeCell ref="E106:G106"/>
    <mergeCell ref="H106:J106"/>
    <mergeCell ref="K106:N106"/>
    <mergeCell ref="H105:J105"/>
    <mergeCell ref="E105:G105"/>
    <mergeCell ref="A105:C105"/>
    <mergeCell ref="D55:D57"/>
    <mergeCell ref="E120:E122"/>
    <mergeCell ref="H120:I122"/>
    <mergeCell ref="Y117:Z117"/>
    <mergeCell ref="E118:K119"/>
    <mergeCell ref="N118:T119"/>
    <mergeCell ref="U118:X119"/>
    <mergeCell ref="Y118:Z118"/>
    <mergeCell ref="Z105:AA105"/>
    <mergeCell ref="Z106:AA106"/>
    <mergeCell ref="Q106:R106"/>
    <mergeCell ref="O106:P106"/>
    <mergeCell ref="Y119:Z119"/>
    <mergeCell ref="B108:C108"/>
    <mergeCell ref="E108:G108"/>
    <mergeCell ref="H108:J108"/>
    <mergeCell ref="K108:N108"/>
    <mergeCell ref="O114:R114"/>
    <mergeCell ref="O112:P112"/>
    <mergeCell ref="X120:X122"/>
    <mergeCell ref="O120:O122"/>
    <mergeCell ref="P120:P122"/>
    <mergeCell ref="S120:S122"/>
    <mergeCell ref="T120:T122"/>
    <mergeCell ref="U120:U122"/>
    <mergeCell ref="Q120:Q122"/>
    <mergeCell ref="R120:R122"/>
    <mergeCell ref="V120:V122"/>
    <mergeCell ref="W120:W122"/>
    <mergeCell ref="B109:C109"/>
    <mergeCell ref="K109:N109"/>
    <mergeCell ref="S110:X111"/>
    <mergeCell ref="K112:N112"/>
    <mergeCell ref="J120:K122"/>
    <mergeCell ref="L120:L122"/>
    <mergeCell ref="N120:N122"/>
    <mergeCell ref="M120:M122"/>
    <mergeCell ref="O15:R15"/>
    <mergeCell ref="O154:O156"/>
    <mergeCell ref="P154:P156"/>
    <mergeCell ref="Q154:R156"/>
    <mergeCell ref="S154:S156"/>
    <mergeCell ref="T154:T156"/>
    <mergeCell ref="U154:U156"/>
    <mergeCell ref="K105:N105"/>
    <mergeCell ref="X106:Y106"/>
    <mergeCell ref="Y18:Z18"/>
    <mergeCell ref="Y151:Z151"/>
    <mergeCell ref="E152:K153"/>
    <mergeCell ref="N152:T153"/>
    <mergeCell ref="U152:X153"/>
    <mergeCell ref="Y152:Z152"/>
    <mergeCell ref="Y153:Z153"/>
    <mergeCell ref="O102:Z102"/>
    <mergeCell ref="Y19:Z19"/>
    <mergeCell ref="Y20:Z20"/>
    <mergeCell ref="Y52:Z52"/>
    <mergeCell ref="X154:X156"/>
    <mergeCell ref="V55:V57"/>
    <mergeCell ref="W55:W57"/>
    <mergeCell ref="F120:G122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K202"/>
  <sheetViews>
    <sheetView showGridLines="0" topLeftCell="A187" workbookViewId="0">
      <selection activeCell="M187" sqref="M187"/>
    </sheetView>
  </sheetViews>
  <sheetFormatPr defaultRowHeight="12.75"/>
  <cols>
    <col min="1" max="1" width="18.140625" customWidth="1"/>
    <col min="2" max="2" width="7.5703125" customWidth="1"/>
    <col min="3" max="4" width="4.28515625" customWidth="1"/>
    <col min="5" max="5" width="6.42578125" customWidth="1"/>
    <col min="6" max="6" width="5.140625" customWidth="1"/>
    <col min="7" max="7" width="7.5703125" customWidth="1"/>
    <col min="8" max="8" width="0.42578125" customWidth="1"/>
    <col min="9" max="9" width="5.42578125" customWidth="1"/>
    <col min="10" max="11" width="6.140625" customWidth="1"/>
    <col min="12" max="12" width="6.5703125" customWidth="1"/>
    <col min="13" max="13" width="6" customWidth="1"/>
    <col min="14" max="15" width="5.85546875" customWidth="1"/>
    <col min="16" max="16" width="5.140625" customWidth="1"/>
    <col min="17" max="17" width="5.42578125" customWidth="1"/>
    <col min="18" max="18" width="6.140625" customWidth="1"/>
    <col min="19" max="19" width="5.85546875" customWidth="1"/>
    <col min="20" max="20" width="6.85546875" customWidth="1"/>
    <col min="21" max="21" width="7.42578125" customWidth="1"/>
    <col min="22" max="22" width="6.42578125" customWidth="1"/>
    <col min="23" max="23" width="5.7109375" customWidth="1"/>
    <col min="24" max="24" width="5.5703125" customWidth="1"/>
    <col min="25" max="25" width="7.28515625" customWidth="1"/>
    <col min="26" max="26" width="6.85546875" customWidth="1"/>
    <col min="27" max="27" width="6.85546875" hidden="1" customWidth="1"/>
    <col min="28" max="28" width="7" customWidth="1"/>
    <col min="29" max="29" width="6.140625" customWidth="1"/>
    <col min="30" max="30" width="7.85546875" customWidth="1"/>
    <col min="31" max="31" width="9.42578125" customWidth="1"/>
    <col min="32" max="32" width="4.7109375" customWidth="1"/>
  </cols>
  <sheetData>
    <row r="1" spans="1:37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X1" s="7"/>
      <c r="Z1" s="10"/>
      <c r="AA1" s="10"/>
      <c r="AB1" s="10"/>
      <c r="AC1" s="10"/>
      <c r="AD1" s="11"/>
      <c r="AE1" s="11"/>
      <c r="AF1" s="7"/>
      <c r="AG1" s="7"/>
      <c r="AH1" s="7"/>
      <c r="AI1" s="7"/>
      <c r="AJ1" s="7"/>
      <c r="AK1" s="7"/>
    </row>
    <row r="2" spans="1:37" ht="10.5" customHeight="1">
      <c r="A2" s="3" t="s">
        <v>319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7"/>
      <c r="Z2" s="10"/>
      <c r="AA2" s="10"/>
      <c r="AB2" s="10"/>
      <c r="AC2" s="10"/>
      <c r="AD2" s="11"/>
      <c r="AE2" s="11"/>
      <c r="AF2" s="7"/>
      <c r="AG2" s="7"/>
      <c r="AH2" s="7"/>
      <c r="AI2" s="7"/>
      <c r="AJ2" s="7"/>
      <c r="AK2" s="7"/>
    </row>
    <row r="3" spans="1:37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60" t="s">
        <v>200</v>
      </c>
      <c r="T3" s="1061"/>
      <c r="U3" s="1061"/>
      <c r="V3" s="1061"/>
      <c r="W3" s="1061"/>
      <c r="X3" s="1061"/>
      <c r="Y3" s="1061"/>
      <c r="Z3" s="1061"/>
      <c r="AA3" s="1061"/>
      <c r="AB3" s="1061"/>
      <c r="AC3" s="1061"/>
      <c r="AD3" s="1061"/>
      <c r="AE3" s="1061"/>
      <c r="AF3" s="115"/>
      <c r="AG3" s="115"/>
      <c r="AH3" s="7"/>
      <c r="AI3" s="7"/>
      <c r="AJ3" s="7"/>
      <c r="AK3" s="7"/>
    </row>
    <row r="4" spans="1:37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AF4" s="7"/>
      <c r="AG4" s="7"/>
      <c r="AH4" s="7"/>
      <c r="AI4" s="7"/>
      <c r="AJ4" s="7"/>
      <c r="AK4" s="7"/>
    </row>
    <row r="5" spans="1:37" ht="4.5" hidden="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2"/>
      <c r="Q5" s="3"/>
      <c r="R5" s="3"/>
      <c r="S5" s="3"/>
      <c r="T5" s="3"/>
      <c r="U5" s="3"/>
      <c r="V5" s="2"/>
      <c r="W5" s="2"/>
      <c r="X5" s="1"/>
      <c r="Y5" s="7"/>
      <c r="Z5" s="7"/>
      <c r="AA5" s="7"/>
      <c r="AB5" s="7"/>
      <c r="AC5" s="7"/>
      <c r="AF5" s="7"/>
      <c r="AG5" s="7"/>
      <c r="AH5" s="7"/>
      <c r="AI5" s="7"/>
      <c r="AJ5" s="7"/>
      <c r="AK5" s="7"/>
    </row>
    <row r="6" spans="1:37" ht="15.75" customHeight="1" thickBot="1">
      <c r="A6" s="1048" t="s">
        <v>42</v>
      </c>
      <c r="B6" s="1048"/>
      <c r="C6" s="1048"/>
      <c r="D6" s="992"/>
      <c r="E6" s="1047" t="s">
        <v>35</v>
      </c>
      <c r="F6" s="1048"/>
      <c r="G6" s="1049"/>
      <c r="H6" s="992"/>
      <c r="I6" s="1047" t="s">
        <v>60</v>
      </c>
      <c r="J6" s="1047"/>
      <c r="K6" s="1049"/>
      <c r="L6" s="1047" t="s">
        <v>58</v>
      </c>
      <c r="M6" s="1048"/>
      <c r="N6" s="1048"/>
      <c r="O6" s="31"/>
      <c r="P6" s="29"/>
      <c r="Q6" s="29"/>
      <c r="R6" s="21"/>
      <c r="S6" s="19"/>
      <c r="T6" s="3"/>
      <c r="U6" s="7"/>
      <c r="V6" s="7"/>
      <c r="W6" s="7"/>
      <c r="X6" s="7"/>
      <c r="Y6" s="7"/>
      <c r="Z6" s="7"/>
      <c r="AA6" s="7"/>
      <c r="AB6" s="7"/>
      <c r="AC6" s="7"/>
      <c r="AD6" s="1088" t="s">
        <v>0</v>
      </c>
      <c r="AE6" s="1089"/>
      <c r="AF6" s="7"/>
      <c r="AG6" s="7"/>
      <c r="AH6" s="7"/>
      <c r="AI6" s="7"/>
      <c r="AJ6" s="7"/>
      <c r="AK6" s="7"/>
    </row>
    <row r="7" spans="1:37" ht="10.5" customHeight="1">
      <c r="A7" s="1059" t="s">
        <v>43</v>
      </c>
      <c r="B7" s="1059"/>
      <c r="C7" s="1059"/>
      <c r="D7" s="1001"/>
      <c r="E7" s="1065" t="s">
        <v>34</v>
      </c>
      <c r="F7" s="1066"/>
      <c r="G7" s="1067"/>
      <c r="H7" s="1001"/>
      <c r="I7" s="1065" t="s">
        <v>12</v>
      </c>
      <c r="J7" s="1065"/>
      <c r="K7" s="1067"/>
      <c r="L7" s="1065" t="s">
        <v>15</v>
      </c>
      <c r="M7" s="1066"/>
      <c r="N7" s="1108"/>
      <c r="O7" s="1065" t="s">
        <v>14</v>
      </c>
      <c r="P7" s="1066"/>
      <c r="Q7" s="1066"/>
      <c r="R7" s="1067"/>
      <c r="S7" s="5" t="s">
        <v>196</v>
      </c>
      <c r="T7" s="1092" t="s">
        <v>221</v>
      </c>
      <c r="U7" s="1093"/>
      <c r="V7" s="1093"/>
      <c r="W7" s="1093"/>
      <c r="X7" s="1093"/>
      <c r="Y7" s="1093"/>
      <c r="Z7" s="1109" t="s">
        <v>190</v>
      </c>
      <c r="AA7" s="1109"/>
      <c r="AB7" s="1110"/>
      <c r="AC7" s="1111"/>
      <c r="AD7" s="1090" t="s">
        <v>23</v>
      </c>
      <c r="AE7" s="1091"/>
      <c r="AF7" s="7"/>
      <c r="AG7" s="7"/>
      <c r="AH7" s="7"/>
      <c r="AI7" s="7"/>
      <c r="AJ7" s="7"/>
      <c r="AK7" s="7"/>
    </row>
    <row r="8" spans="1:37" ht="10.5" customHeight="1" thickBot="1">
      <c r="A8" s="993" t="s">
        <v>44</v>
      </c>
      <c r="B8" s="1047" t="s">
        <v>46</v>
      </c>
      <c r="C8" s="1048"/>
      <c r="D8" s="1001"/>
      <c r="E8" s="1065" t="s">
        <v>39</v>
      </c>
      <c r="F8" s="1066"/>
      <c r="G8" s="1067"/>
      <c r="H8" s="1001"/>
      <c r="I8" s="1065" t="s">
        <v>49</v>
      </c>
      <c r="J8" s="1065"/>
      <c r="K8" s="1067"/>
      <c r="L8" s="1065" t="s">
        <v>59</v>
      </c>
      <c r="M8" s="1066"/>
      <c r="N8" s="1066"/>
      <c r="O8" s="1065" t="s">
        <v>40</v>
      </c>
      <c r="P8" s="1066"/>
      <c r="Q8" s="1066"/>
      <c r="R8" s="1067"/>
      <c r="S8" s="5" t="s">
        <v>197</v>
      </c>
      <c r="T8" s="1093"/>
      <c r="U8" s="1093"/>
      <c r="V8" s="1093"/>
      <c r="W8" s="1093"/>
      <c r="X8" s="1093"/>
      <c r="Y8" s="1093"/>
      <c r="AC8" s="56"/>
      <c r="AD8" s="755"/>
      <c r="AE8" s="756"/>
      <c r="AF8" s="7"/>
      <c r="AG8" s="7"/>
      <c r="AH8" s="7"/>
      <c r="AI8" s="7"/>
      <c r="AJ8" s="7"/>
      <c r="AK8" s="7"/>
    </row>
    <row r="9" spans="1:37" ht="15.75" customHeight="1" thickBot="1">
      <c r="A9" s="1002" t="s">
        <v>45</v>
      </c>
      <c r="B9" s="1065" t="s">
        <v>47</v>
      </c>
      <c r="C9" s="1066"/>
      <c r="D9" s="1013"/>
      <c r="E9" s="1065" t="s">
        <v>38</v>
      </c>
      <c r="F9" s="1066"/>
      <c r="G9" s="1067"/>
      <c r="H9" s="1001"/>
      <c r="I9" s="1065" t="s">
        <v>13</v>
      </c>
      <c r="J9" s="1065"/>
      <c r="K9" s="1067"/>
      <c r="L9" s="1065" t="s">
        <v>38</v>
      </c>
      <c r="M9" s="1066"/>
      <c r="N9" s="1066"/>
      <c r="O9" s="25"/>
      <c r="P9" s="3"/>
      <c r="Q9" s="3"/>
      <c r="R9" s="17"/>
      <c r="S9" s="5" t="s">
        <v>198</v>
      </c>
      <c r="T9" s="3" t="s">
        <v>194</v>
      </c>
      <c r="U9" s="759"/>
      <c r="V9" s="759"/>
      <c r="W9" s="1007"/>
      <c r="X9" s="1007"/>
      <c r="Y9" s="1007"/>
      <c r="Z9" s="1007"/>
      <c r="AA9" s="1007"/>
      <c r="AB9" s="758"/>
      <c r="AC9" s="746" t="s">
        <v>191</v>
      </c>
      <c r="AD9" s="749"/>
      <c r="AE9" s="745"/>
      <c r="AF9" s="120"/>
      <c r="AG9" s="120"/>
      <c r="AH9" s="7"/>
      <c r="AI9" s="7"/>
      <c r="AJ9" s="7"/>
      <c r="AK9" s="7"/>
    </row>
    <row r="10" spans="1:37" ht="5.25" customHeight="1">
      <c r="A10" s="17"/>
      <c r="B10" s="1058" t="s">
        <v>48</v>
      </c>
      <c r="C10" s="1059"/>
      <c r="D10" s="1001"/>
      <c r="E10" s="1007"/>
      <c r="F10" s="3"/>
      <c r="G10" s="30"/>
      <c r="H10" s="32"/>
      <c r="I10" s="3"/>
      <c r="J10" s="3"/>
      <c r="K10" s="30"/>
      <c r="L10" s="1058"/>
      <c r="M10" s="1059"/>
      <c r="N10" s="1059"/>
      <c r="O10" s="25"/>
      <c r="P10" s="3"/>
      <c r="Q10" s="3"/>
      <c r="R10" s="17"/>
      <c r="S10" s="771"/>
      <c r="T10" s="32"/>
      <c r="U10" s="760" t="s">
        <v>96</v>
      </c>
      <c r="V10" s="32"/>
      <c r="W10" s="32"/>
      <c r="X10" s="32"/>
      <c r="Y10" s="32"/>
      <c r="Z10" s="32"/>
      <c r="AA10" s="32"/>
      <c r="AB10" s="32"/>
      <c r="AC10" s="56"/>
      <c r="AD10" s="32"/>
      <c r="AE10" s="56"/>
    </row>
    <row r="11" spans="1:37" ht="11.25" customHeight="1" thickBot="1">
      <c r="A11" s="58">
        <v>1</v>
      </c>
      <c r="B11" s="62"/>
      <c r="C11" s="63">
        <v>2</v>
      </c>
      <c r="D11" s="292"/>
      <c r="E11" s="994"/>
      <c r="F11" s="994">
        <v>3</v>
      </c>
      <c r="G11" s="995"/>
      <c r="H11" s="994"/>
      <c r="I11" s="994"/>
      <c r="J11" s="994">
        <v>4</v>
      </c>
      <c r="K11" s="995"/>
      <c r="L11" s="994"/>
      <c r="M11" s="994"/>
      <c r="N11" s="994">
        <v>5</v>
      </c>
      <c r="O11" s="998"/>
      <c r="P11" s="994"/>
      <c r="Q11" s="994">
        <v>6</v>
      </c>
      <c r="R11" s="995"/>
      <c r="S11" s="778">
        <v>7</v>
      </c>
      <c r="T11" s="1074" t="s">
        <v>307</v>
      </c>
      <c r="U11" s="1112"/>
      <c r="V11" s="1112"/>
      <c r="W11" s="1112"/>
      <c r="X11" s="1112"/>
      <c r="Y11" s="1112"/>
      <c r="Z11" s="1112"/>
      <c r="AA11" s="1014"/>
      <c r="AB11" s="682"/>
      <c r="AC11" s="699" t="s">
        <v>199</v>
      </c>
      <c r="AD11" s="682"/>
      <c r="AE11" s="744"/>
      <c r="AF11" s="7"/>
      <c r="AG11" s="7"/>
      <c r="AH11" s="7"/>
      <c r="AI11" s="7"/>
      <c r="AJ11" s="7"/>
      <c r="AK11" s="7"/>
    </row>
    <row r="12" spans="1:37" ht="9.75" customHeight="1">
      <c r="A12" s="37"/>
      <c r="B12" s="38"/>
      <c r="C12" s="38"/>
      <c r="D12" s="38"/>
      <c r="E12" s="38"/>
      <c r="F12" s="38"/>
      <c r="G12" s="39"/>
      <c r="H12" s="38"/>
      <c r="I12" s="38"/>
      <c r="J12" s="38"/>
      <c r="K12" s="39"/>
      <c r="L12" s="38"/>
      <c r="M12" s="38"/>
      <c r="N12" s="38"/>
      <c r="O12" s="40"/>
      <c r="P12" s="38"/>
      <c r="Q12" s="38"/>
      <c r="R12" s="39"/>
      <c r="S12" s="773"/>
      <c r="T12" s="1112"/>
      <c r="U12" s="1112"/>
      <c r="V12" s="1112"/>
      <c r="W12" s="1112"/>
      <c r="X12" s="1112"/>
      <c r="Y12" s="1112"/>
      <c r="Z12" s="1112"/>
      <c r="AA12" s="1014"/>
      <c r="AB12" s="32"/>
      <c r="AC12" s="741"/>
      <c r="AD12" s="702"/>
      <c r="AE12" s="56"/>
      <c r="AF12" s="7"/>
      <c r="AG12" s="7"/>
      <c r="AH12" s="7"/>
      <c r="AI12" s="7"/>
      <c r="AJ12" s="7"/>
      <c r="AK12" s="7"/>
    </row>
    <row r="13" spans="1:37" ht="15" customHeight="1" thickBot="1">
      <c r="A13" s="780" t="s">
        <v>202</v>
      </c>
      <c r="B13" s="28"/>
      <c r="C13" s="28"/>
      <c r="D13" s="28"/>
      <c r="E13" s="28"/>
      <c r="F13" s="28"/>
      <c r="G13" s="218">
        <v>110</v>
      </c>
      <c r="H13" s="218"/>
      <c r="I13" s="1113">
        <f>B25</f>
        <v>100</v>
      </c>
      <c r="J13" s="1114"/>
      <c r="K13" s="1069"/>
      <c r="L13" s="1075">
        <f>B25*G13</f>
        <v>11000</v>
      </c>
      <c r="M13" s="1114"/>
      <c r="N13" s="1069"/>
      <c r="O13" s="1068">
        <f>AE97/B25</f>
        <v>127.715644</v>
      </c>
      <c r="P13" s="1115"/>
      <c r="Q13" s="1115"/>
      <c r="R13" s="1069"/>
      <c r="S13" s="774"/>
      <c r="T13" s="3"/>
      <c r="U13" s="761" t="s">
        <v>308</v>
      </c>
      <c r="V13" s="3"/>
      <c r="W13" s="762"/>
      <c r="X13" s="8"/>
      <c r="Y13" s="8"/>
      <c r="Z13" s="8"/>
      <c r="AA13" s="8"/>
      <c r="AB13" s="682"/>
      <c r="AC13" s="610"/>
      <c r="AD13" s="743"/>
      <c r="AE13" s="704"/>
      <c r="AF13" s="7"/>
      <c r="AG13" s="7"/>
      <c r="AH13" s="7"/>
      <c r="AI13" s="7"/>
      <c r="AJ13" s="7"/>
      <c r="AK13" s="7"/>
    </row>
    <row r="14" spans="1:37" ht="13.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45"/>
      <c r="K14" s="49"/>
      <c r="L14" s="28"/>
      <c r="M14" s="28"/>
      <c r="N14" s="28"/>
      <c r="O14" s="51"/>
      <c r="P14" s="28"/>
      <c r="Q14" s="28"/>
      <c r="R14" s="27"/>
      <c r="S14" s="774"/>
      <c r="T14" s="3"/>
      <c r="U14" s="8"/>
      <c r="V14" s="8"/>
      <c r="W14" s="32"/>
      <c r="X14" s="32"/>
      <c r="Y14" s="32"/>
      <c r="Z14" s="32"/>
      <c r="AA14" s="32"/>
      <c r="AB14" s="32"/>
      <c r="AC14" s="684"/>
      <c r="AD14" s="54"/>
      <c r="AE14" s="56"/>
      <c r="AF14" s="7"/>
      <c r="AG14" s="7"/>
      <c r="AH14" s="7"/>
      <c r="AI14" s="7"/>
      <c r="AJ14" s="7"/>
      <c r="AK14" s="7"/>
    </row>
    <row r="15" spans="1:37" ht="17.25" customHeight="1" thickBot="1">
      <c r="A15" s="769"/>
      <c r="B15" s="38"/>
      <c r="C15" s="38"/>
      <c r="D15" s="38"/>
      <c r="E15" s="38"/>
      <c r="F15" s="38"/>
      <c r="G15" s="38"/>
      <c r="H15" s="768"/>
      <c r="I15" s="38"/>
      <c r="J15" s="3" t="s">
        <v>33</v>
      </c>
      <c r="K15" s="42"/>
      <c r="L15" s="3"/>
      <c r="M15" s="45"/>
      <c r="N15" s="45"/>
      <c r="O15" s="1116">
        <f>O13*B25</f>
        <v>12771.564399999999</v>
      </c>
      <c r="P15" s="1117"/>
      <c r="Q15" s="1117"/>
      <c r="R15" s="1118"/>
      <c r="S15" s="775"/>
      <c r="T15" s="3" t="s">
        <v>193</v>
      </c>
      <c r="U15" s="8"/>
      <c r="V15" s="8"/>
      <c r="W15" s="763"/>
      <c r="X15" s="764" t="s">
        <v>309</v>
      </c>
      <c r="Y15" s="32"/>
      <c r="Z15" s="32"/>
      <c r="AA15" s="32"/>
      <c r="AB15" s="32"/>
      <c r="AD15" s="66"/>
      <c r="AE15" s="67"/>
      <c r="AF15" s="7"/>
      <c r="AG15" s="7"/>
      <c r="AH15" s="7"/>
      <c r="AI15" s="7"/>
      <c r="AJ15" s="7"/>
      <c r="AK15" s="7"/>
    </row>
    <row r="16" spans="1:37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8"/>
      <c r="M16" s="770"/>
      <c r="N16" s="770"/>
      <c r="O16" s="770"/>
      <c r="P16" s="770"/>
      <c r="Q16" s="770"/>
      <c r="R16" s="770"/>
      <c r="S16" s="770"/>
      <c r="T16" s="3"/>
      <c r="U16" s="7"/>
      <c r="V16" s="7"/>
      <c r="AB16" s="32"/>
      <c r="AF16" s="7"/>
      <c r="AG16" s="7"/>
      <c r="AH16" s="7"/>
      <c r="AI16" s="7"/>
      <c r="AJ16" s="7"/>
      <c r="AK16" s="7"/>
    </row>
    <row r="17" spans="1:37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"/>
      <c r="Y17" s="7"/>
      <c r="Z17" s="7"/>
      <c r="AA17" s="7"/>
      <c r="AB17" s="7"/>
      <c r="AC17" s="7"/>
      <c r="AD17" s="8"/>
      <c r="AE17" s="8"/>
      <c r="AF17" s="7"/>
      <c r="AG17" s="7"/>
      <c r="AH17" s="7"/>
      <c r="AI17" s="7"/>
      <c r="AJ17" s="7"/>
      <c r="AK17" s="7"/>
    </row>
    <row r="18" spans="1:37" ht="12" customHeight="1">
      <c r="A18" s="26" t="s">
        <v>53</v>
      </c>
      <c r="B18" s="20"/>
      <c r="C18" s="65"/>
      <c r="D18" s="65"/>
      <c r="E18" s="14"/>
      <c r="F18" s="14"/>
      <c r="G18" s="14"/>
      <c r="H18" s="14"/>
      <c r="I18" s="14"/>
      <c r="J18" s="14"/>
      <c r="K18" s="14"/>
      <c r="L18" s="14"/>
      <c r="M18" s="22"/>
      <c r="N18" s="22"/>
      <c r="O18" s="22"/>
      <c r="P18" s="22"/>
      <c r="Q18" s="767" t="s">
        <v>41</v>
      </c>
      <c r="R18" s="767"/>
      <c r="S18" s="767"/>
      <c r="T18" s="14"/>
      <c r="U18" s="14"/>
      <c r="V18" s="14"/>
      <c r="W18" s="28"/>
      <c r="X18" s="28"/>
      <c r="Y18" s="14"/>
      <c r="Z18" s="14"/>
      <c r="AA18" s="14"/>
      <c r="AB18" s="14"/>
      <c r="AC18" s="14"/>
      <c r="AD18" s="1047" t="s">
        <v>8</v>
      </c>
      <c r="AE18" s="1048"/>
      <c r="AF18" s="7"/>
      <c r="AG18" s="7"/>
      <c r="AH18" s="7"/>
      <c r="AI18" s="7"/>
      <c r="AJ18" s="7"/>
      <c r="AK18" s="7"/>
    </row>
    <row r="19" spans="1:37" ht="12" customHeight="1">
      <c r="A19" s="993"/>
      <c r="B19" s="19"/>
      <c r="C19" s="70" t="s">
        <v>52</v>
      </c>
      <c r="D19" s="992"/>
      <c r="E19" s="1052" t="s">
        <v>108</v>
      </c>
      <c r="F19" s="1052"/>
      <c r="G19" s="1052"/>
      <c r="H19" s="1052"/>
      <c r="I19" s="1052"/>
      <c r="J19" s="1052"/>
      <c r="K19" s="1087"/>
      <c r="L19" s="994" t="s">
        <v>69</v>
      </c>
      <c r="M19" s="1011"/>
      <c r="N19" s="994"/>
      <c r="O19" s="1052" t="s">
        <v>16</v>
      </c>
      <c r="P19" s="1052"/>
      <c r="Q19" s="1052"/>
      <c r="R19" s="1052"/>
      <c r="S19" s="1052"/>
      <c r="T19" s="1052"/>
      <c r="U19" s="1052"/>
      <c r="V19" s="1052"/>
      <c r="W19" s="1052"/>
      <c r="X19" s="1087"/>
      <c r="Y19" s="1052" t="s">
        <v>17</v>
      </c>
      <c r="Z19" s="1052"/>
      <c r="AA19" s="1052"/>
      <c r="AB19" s="1052"/>
      <c r="AC19" s="1052"/>
      <c r="AD19" s="1062" t="s">
        <v>3</v>
      </c>
      <c r="AE19" s="1059"/>
      <c r="AF19" s="7"/>
      <c r="AG19" s="7"/>
      <c r="AH19" s="7"/>
      <c r="AI19" s="7"/>
      <c r="AJ19" s="7"/>
      <c r="AK19" s="7"/>
    </row>
    <row r="20" spans="1:37" ht="6.75" customHeight="1">
      <c r="A20" s="1002"/>
      <c r="B20" s="5"/>
      <c r="C20" s="70" t="s">
        <v>51</v>
      </c>
      <c r="D20" s="1001"/>
      <c r="E20" s="1054"/>
      <c r="F20" s="1054"/>
      <c r="G20" s="1054"/>
      <c r="H20" s="1054"/>
      <c r="I20" s="1054"/>
      <c r="J20" s="1054"/>
      <c r="K20" s="1086"/>
      <c r="L20" s="996"/>
      <c r="M20" s="1010"/>
      <c r="N20" s="996"/>
      <c r="O20" s="1054"/>
      <c r="P20" s="1054"/>
      <c r="Q20" s="1054"/>
      <c r="R20" s="1054"/>
      <c r="S20" s="1054"/>
      <c r="T20" s="1054"/>
      <c r="U20" s="1054"/>
      <c r="V20" s="1054"/>
      <c r="W20" s="1054"/>
      <c r="X20" s="1086"/>
      <c r="Y20" s="1054"/>
      <c r="Z20" s="1054"/>
      <c r="AA20" s="1054"/>
      <c r="AB20" s="1054"/>
      <c r="AC20" s="1054"/>
      <c r="AD20" s="1119" t="s">
        <v>36</v>
      </c>
      <c r="AE20" s="1064"/>
      <c r="AF20" s="8"/>
      <c r="AG20" s="7"/>
      <c r="AH20" s="7"/>
      <c r="AI20" s="7"/>
      <c r="AJ20" s="7"/>
      <c r="AK20" s="7"/>
    </row>
    <row r="21" spans="1:37" ht="10.5" customHeight="1">
      <c r="A21" s="1002" t="s">
        <v>54</v>
      </c>
      <c r="B21" s="5"/>
      <c r="C21" s="70" t="s">
        <v>9</v>
      </c>
      <c r="D21" s="1101" t="s">
        <v>168</v>
      </c>
      <c r="E21" s="1081" t="s">
        <v>169</v>
      </c>
      <c r="F21" s="1041" t="s">
        <v>162</v>
      </c>
      <c r="G21" s="1096"/>
      <c r="H21" s="982"/>
      <c r="I21" s="1041" t="s">
        <v>176</v>
      </c>
      <c r="J21" s="1038"/>
      <c r="K21" s="1038" t="s">
        <v>117</v>
      </c>
      <c r="L21" s="1044" t="s">
        <v>123</v>
      </c>
      <c r="M21" s="1126" t="s">
        <v>225</v>
      </c>
      <c r="N21" s="1044" t="s">
        <v>137</v>
      </c>
      <c r="O21" s="1035" t="s">
        <v>160</v>
      </c>
      <c r="P21" s="982"/>
      <c r="Q21" s="1017"/>
      <c r="R21" s="1129" t="s">
        <v>228</v>
      </c>
      <c r="S21" s="1035" t="s">
        <v>226</v>
      </c>
      <c r="T21" s="1038"/>
      <c r="U21" s="1044" t="s">
        <v>301</v>
      </c>
      <c r="V21" s="1044" t="s">
        <v>145</v>
      </c>
      <c r="W21" s="1044" t="s">
        <v>68</v>
      </c>
      <c r="X21" s="1035" t="s">
        <v>172</v>
      </c>
      <c r="Y21" s="1120"/>
      <c r="Z21" s="1123" t="s">
        <v>227</v>
      </c>
      <c r="AA21" s="985"/>
      <c r="AB21" s="1044" t="s">
        <v>229</v>
      </c>
      <c r="AC21" s="1035" t="s">
        <v>70</v>
      </c>
      <c r="AD21" s="852"/>
      <c r="AE21" s="1019"/>
      <c r="AF21" s="7"/>
      <c r="AG21" s="7"/>
      <c r="AH21" s="7"/>
      <c r="AI21" s="7"/>
      <c r="AJ21" s="7"/>
      <c r="AK21" s="7"/>
    </row>
    <row r="22" spans="1:37" ht="10.5" customHeight="1">
      <c r="A22" s="1002"/>
      <c r="B22" s="5"/>
      <c r="C22" s="70" t="s">
        <v>10</v>
      </c>
      <c r="D22" s="1102"/>
      <c r="E22" s="1082"/>
      <c r="F22" s="1042"/>
      <c r="G22" s="1098"/>
      <c r="H22" s="983"/>
      <c r="I22" s="1042"/>
      <c r="J22" s="1039"/>
      <c r="K22" s="1039"/>
      <c r="L22" s="1045"/>
      <c r="M22" s="1127"/>
      <c r="N22" s="1045"/>
      <c r="O22" s="1036"/>
      <c r="P22" s="983"/>
      <c r="Q22" s="1018"/>
      <c r="R22" s="1130"/>
      <c r="S22" s="1036"/>
      <c r="T22" s="1039"/>
      <c r="U22" s="1045"/>
      <c r="V22" s="1045"/>
      <c r="W22" s="1045"/>
      <c r="X22" s="1121"/>
      <c r="Y22" s="1121"/>
      <c r="Z22" s="1124"/>
      <c r="AA22" s="986"/>
      <c r="AB22" s="1045"/>
      <c r="AC22" s="1039"/>
      <c r="AD22" s="19" t="s">
        <v>6</v>
      </c>
      <c r="AE22" s="1001" t="s">
        <v>4</v>
      </c>
      <c r="AF22" s="7"/>
      <c r="AG22" s="7"/>
      <c r="AH22" s="7"/>
      <c r="AI22" s="7"/>
      <c r="AJ22" s="7"/>
      <c r="AK22" s="7"/>
    </row>
    <row r="23" spans="1:37" ht="99" customHeight="1">
      <c r="A23" s="1006"/>
      <c r="B23" s="4"/>
      <c r="C23" s="71"/>
      <c r="D23" s="1103"/>
      <c r="E23" s="1083"/>
      <c r="F23" s="1043"/>
      <c r="G23" s="1100"/>
      <c r="H23" s="984"/>
      <c r="I23" s="1043"/>
      <c r="J23" s="1040"/>
      <c r="K23" s="1040"/>
      <c r="L23" s="1046"/>
      <c r="M23" s="1128"/>
      <c r="N23" s="1046"/>
      <c r="O23" s="1037"/>
      <c r="P23" s="984" t="s">
        <v>258</v>
      </c>
      <c r="Q23" s="899" t="s">
        <v>159</v>
      </c>
      <c r="R23" s="1131"/>
      <c r="S23" s="1037"/>
      <c r="T23" s="1040"/>
      <c r="U23" s="1046"/>
      <c r="V23" s="1046"/>
      <c r="W23" s="1046"/>
      <c r="X23" s="1122"/>
      <c r="Y23" s="1122"/>
      <c r="Z23" s="1125"/>
      <c r="AA23" s="987"/>
      <c r="AB23" s="1046"/>
      <c r="AC23" s="1037"/>
      <c r="AD23" s="284" t="s">
        <v>7</v>
      </c>
      <c r="AE23" s="1000" t="s">
        <v>5</v>
      </c>
      <c r="AF23" s="7"/>
      <c r="AG23" s="7"/>
      <c r="AH23" s="7"/>
      <c r="AI23" s="7"/>
      <c r="AJ23" s="7"/>
      <c r="AK23" s="7"/>
    </row>
    <row r="24" spans="1:37" ht="11.25" customHeight="1">
      <c r="A24" s="64">
        <v>1</v>
      </c>
      <c r="B24" s="1024">
        <v>2</v>
      </c>
      <c r="C24" s="72">
        <v>3</v>
      </c>
      <c r="D24" s="276">
        <v>4</v>
      </c>
      <c r="E24" s="72">
        <v>5</v>
      </c>
      <c r="F24" s="1008">
        <v>6</v>
      </c>
      <c r="G24" s="72">
        <v>7</v>
      </c>
      <c r="H24" s="87">
        <v>7</v>
      </c>
      <c r="I24" s="276">
        <v>8</v>
      </c>
      <c r="J24" s="95">
        <v>10</v>
      </c>
      <c r="K24" s="96">
        <v>11</v>
      </c>
      <c r="L24" s="96">
        <v>12</v>
      </c>
      <c r="M24" s="96">
        <v>13</v>
      </c>
      <c r="N24" s="81">
        <v>14</v>
      </c>
      <c r="O24" s="82">
        <v>15</v>
      </c>
      <c r="P24" s="276"/>
      <c r="Q24" s="328">
        <v>16</v>
      </c>
      <c r="R24" s="80">
        <v>17</v>
      </c>
      <c r="S24" s="276">
        <v>18</v>
      </c>
      <c r="T24" s="95">
        <v>19</v>
      </c>
      <c r="U24" s="80">
        <v>20</v>
      </c>
      <c r="V24" s="98">
        <v>21</v>
      </c>
      <c r="W24" s="98">
        <v>22</v>
      </c>
      <c r="X24" s="276">
        <v>23</v>
      </c>
      <c r="Y24" s="95">
        <v>24</v>
      </c>
      <c r="Z24" s="96">
        <v>25</v>
      </c>
      <c r="AA24" s="81">
        <v>25</v>
      </c>
      <c r="AB24" s="96">
        <v>26</v>
      </c>
      <c r="AC24" s="846">
        <v>27</v>
      </c>
      <c r="AD24" s="86">
        <v>28</v>
      </c>
      <c r="AE24" s="1008">
        <v>29</v>
      </c>
      <c r="AF24" s="7"/>
      <c r="AG24" s="7"/>
      <c r="AH24" s="7"/>
      <c r="AI24" s="7"/>
      <c r="AJ24" s="7"/>
      <c r="AK24" s="7"/>
    </row>
    <row r="25" spans="1:37" ht="15.95" customHeight="1">
      <c r="A25" s="840" t="s">
        <v>18</v>
      </c>
      <c r="B25" s="841">
        <v>100</v>
      </c>
      <c r="C25" s="75"/>
      <c r="D25" s="493">
        <f>F25</f>
        <v>100</v>
      </c>
      <c r="E25" s="842">
        <f>B25</f>
        <v>100</v>
      </c>
      <c r="F25" s="843">
        <v>100</v>
      </c>
      <c r="G25" s="842">
        <f>B25</f>
        <v>100</v>
      </c>
      <c r="H25" s="844"/>
      <c r="I25" s="493">
        <f>F25</f>
        <v>100</v>
      </c>
      <c r="J25" s="842">
        <f>B25</f>
        <v>100</v>
      </c>
      <c r="K25" s="842">
        <f>B25</f>
        <v>100</v>
      </c>
      <c r="L25" s="842">
        <f>B25</f>
        <v>100</v>
      </c>
      <c r="M25" s="842">
        <f>B25</f>
        <v>100</v>
      </c>
      <c r="N25" s="842">
        <f>B25</f>
        <v>100</v>
      </c>
      <c r="O25" s="838">
        <f>B25</f>
        <v>100</v>
      </c>
      <c r="P25" s="844">
        <f>B25</f>
        <v>100</v>
      </c>
      <c r="Q25" s="900">
        <f>B25</f>
        <v>100</v>
      </c>
      <c r="R25" s="550">
        <f>B25</f>
        <v>100</v>
      </c>
      <c r="S25" s="109">
        <f>F25</f>
        <v>100</v>
      </c>
      <c r="T25" s="551">
        <f>B25</f>
        <v>100</v>
      </c>
      <c r="U25" s="471">
        <f>B25</f>
        <v>100</v>
      </c>
      <c r="V25" s="471">
        <f>G25</f>
        <v>100</v>
      </c>
      <c r="W25" s="99">
        <f>B25</f>
        <v>100</v>
      </c>
      <c r="X25" s="109">
        <f>F25</f>
        <v>100</v>
      </c>
      <c r="Y25" s="99">
        <f>B25</f>
        <v>100</v>
      </c>
      <c r="Z25" s="99">
        <f>B25</f>
        <v>100</v>
      </c>
      <c r="AA25" s="99"/>
      <c r="AB25" s="99">
        <f>B25</f>
        <v>100</v>
      </c>
      <c r="AC25" s="99">
        <f>B25</f>
        <v>100</v>
      </c>
      <c r="AD25" s="12" t="s">
        <v>66</v>
      </c>
      <c r="AE25" s="68" t="s">
        <v>64</v>
      </c>
      <c r="AF25" s="7"/>
      <c r="AG25" s="7"/>
      <c r="AH25" s="7"/>
      <c r="AI25" s="7"/>
      <c r="AJ25" s="7"/>
    </row>
    <row r="26" spans="1:37" ht="15.95" customHeight="1" thickBot="1">
      <c r="A26" s="59" t="s">
        <v>19</v>
      </c>
      <c r="B26" s="60"/>
      <c r="C26" s="74"/>
      <c r="D26" s="91">
        <v>25</v>
      </c>
      <c r="E26" s="119">
        <f>D26*D25/B25</f>
        <v>25</v>
      </c>
      <c r="F26" s="91">
        <v>150</v>
      </c>
      <c r="G26" s="119">
        <f>F26*F25/B25</f>
        <v>150</v>
      </c>
      <c r="H26" s="433"/>
      <c r="I26" s="91">
        <v>187</v>
      </c>
      <c r="J26" s="119">
        <f>I26*I25/B25</f>
        <v>187</v>
      </c>
      <c r="K26" s="119">
        <f>K72/B25*1000</f>
        <v>20</v>
      </c>
      <c r="L26" s="119">
        <f>L52/B25*1000</f>
        <v>180</v>
      </c>
      <c r="M26" s="119">
        <f>M46/B25*1000</f>
        <v>30</v>
      </c>
      <c r="N26" s="119">
        <v>50</v>
      </c>
      <c r="O26" s="830">
        <v>200</v>
      </c>
      <c r="P26" s="433">
        <f>P80/B25/0.00177</f>
        <v>10</v>
      </c>
      <c r="Q26" s="901">
        <f>Q36/B25*1000</f>
        <v>10</v>
      </c>
      <c r="R26" s="119">
        <v>30</v>
      </c>
      <c r="S26" s="111">
        <v>70</v>
      </c>
      <c r="T26" s="552">
        <f>S26*F25/B25</f>
        <v>70</v>
      </c>
      <c r="U26" s="279">
        <v>130</v>
      </c>
      <c r="V26" s="279">
        <v>180</v>
      </c>
      <c r="W26" s="119">
        <f>W74/B25*1000</f>
        <v>40</v>
      </c>
      <c r="X26" s="511">
        <v>80</v>
      </c>
      <c r="Y26" s="119">
        <f>X26*F25/B25</f>
        <v>80</v>
      </c>
      <c r="Z26" s="100">
        <v>20</v>
      </c>
      <c r="AA26" s="100"/>
      <c r="AB26" s="119">
        <f>AB34/B25/1.05*1000</f>
        <v>179.99999999999997</v>
      </c>
      <c r="AC26" s="119">
        <f>AC76/B25*1000</f>
        <v>20</v>
      </c>
      <c r="AD26" s="61"/>
      <c r="AE26" s="69"/>
      <c r="AF26" s="7"/>
      <c r="AG26" s="7"/>
      <c r="AH26" s="7"/>
      <c r="AI26" s="7"/>
      <c r="AJ26" s="7"/>
    </row>
    <row r="27" spans="1:37" ht="14.25" customHeight="1" thickTop="1">
      <c r="A27" s="133"/>
      <c r="B27" s="5" t="s">
        <v>65</v>
      </c>
      <c r="C27" s="77" t="s">
        <v>72</v>
      </c>
      <c r="D27" s="287"/>
      <c r="E27" s="88"/>
      <c r="F27" s="92"/>
      <c r="G27" s="88"/>
      <c r="H27" s="456"/>
      <c r="I27" s="108"/>
      <c r="J27" s="88"/>
      <c r="K27" s="88"/>
      <c r="L27" s="88"/>
      <c r="M27" s="88"/>
      <c r="N27" s="88"/>
      <c r="O27" s="263"/>
      <c r="P27" s="215"/>
      <c r="Q27" s="902"/>
      <c r="R27" s="826"/>
      <c r="S27" s="177">
        <f>42/70*S26</f>
        <v>42</v>
      </c>
      <c r="T27" s="256">
        <f>S27/S26*T26</f>
        <v>42</v>
      </c>
      <c r="U27" s="88"/>
      <c r="V27" s="129"/>
      <c r="W27" s="129"/>
      <c r="X27" s="555"/>
      <c r="Y27" s="88"/>
      <c r="Z27" s="88"/>
      <c r="AA27" s="88"/>
      <c r="AB27" s="88"/>
      <c r="AC27" s="88"/>
      <c r="AD27" s="510"/>
      <c r="AE27" s="79"/>
      <c r="AF27" s="7"/>
      <c r="AG27" s="7"/>
      <c r="AH27" s="7"/>
      <c r="AI27" s="7"/>
      <c r="AJ27" s="7"/>
    </row>
    <row r="28" spans="1:37" ht="15.75" customHeight="1" thickBot="1">
      <c r="A28" s="346" t="s">
        <v>144</v>
      </c>
      <c r="B28" s="347">
        <v>267.8</v>
      </c>
      <c r="C28" s="348" t="s">
        <v>73</v>
      </c>
      <c r="D28" s="385"/>
      <c r="E28" s="350"/>
      <c r="F28" s="363"/>
      <c r="G28" s="350"/>
      <c r="H28" s="420"/>
      <c r="I28" s="349"/>
      <c r="J28" s="350"/>
      <c r="K28" s="350"/>
      <c r="L28" s="350"/>
      <c r="M28" s="350"/>
      <c r="N28" s="350"/>
      <c r="O28" s="360"/>
      <c r="P28" s="379"/>
      <c r="Q28" s="903"/>
      <c r="R28" s="341"/>
      <c r="S28" s="349">
        <f>S27*F25/1000</f>
        <v>4.2</v>
      </c>
      <c r="T28" s="339">
        <f>S28</f>
        <v>4.2</v>
      </c>
      <c r="U28" s="350"/>
      <c r="V28" s="341"/>
      <c r="W28" s="341"/>
      <c r="X28" s="556"/>
      <c r="Y28" s="340"/>
      <c r="Z28" s="350"/>
      <c r="AA28" s="350"/>
      <c r="AB28" s="350"/>
      <c r="AC28" s="350"/>
      <c r="AD28" s="399">
        <f>ROUND(E28+G28+H28+J28+K28+L28+O28+R28+T28+U28+V28+W28+Y28+Z28+AB28+AC28,2)</f>
        <v>4.2</v>
      </c>
      <c r="AE28" s="368">
        <f>AD28*B28</f>
        <v>1124.76</v>
      </c>
      <c r="AF28" s="7"/>
      <c r="AG28" s="223">
        <f>AD28+AD128</f>
        <v>7.8000000000000007</v>
      </c>
      <c r="AH28" s="7" t="str">
        <f>A28</f>
        <v>Печень гов. мор.</v>
      </c>
      <c r="AI28" s="7"/>
      <c r="AJ28" s="7"/>
    </row>
    <row r="29" spans="1:37" ht="13.5" customHeight="1" thickTop="1">
      <c r="A29" s="133"/>
      <c r="B29" s="121"/>
      <c r="C29" s="77" t="s">
        <v>72</v>
      </c>
      <c r="D29" s="90">
        <v>5</v>
      </c>
      <c r="E29" s="129">
        <f>D29/D26*E26</f>
        <v>5</v>
      </c>
      <c r="F29" s="90">
        <v>3</v>
      </c>
      <c r="G29" s="129">
        <f>F29/F26*G26</f>
        <v>3</v>
      </c>
      <c r="H29" s="457"/>
      <c r="I29" s="108"/>
      <c r="J29" s="88"/>
      <c r="K29" s="88"/>
      <c r="L29" s="88"/>
      <c r="M29" s="88"/>
      <c r="N29" s="88"/>
      <c r="O29" s="264"/>
      <c r="P29" s="897"/>
      <c r="Q29" s="904"/>
      <c r="R29" s="131">
        <v>1.7</v>
      </c>
      <c r="S29" s="177">
        <f>1.2/70*S26</f>
        <v>1.2</v>
      </c>
      <c r="T29" s="256">
        <f>S29/S28*T28</f>
        <v>1.2</v>
      </c>
      <c r="U29" s="131">
        <v>2.6</v>
      </c>
      <c r="V29" s="129"/>
      <c r="W29" s="129"/>
      <c r="X29" s="177">
        <f>3.2/80*X26</f>
        <v>3.2</v>
      </c>
      <c r="Y29" s="256">
        <f>X29/X26*Y26</f>
        <v>3.2</v>
      </c>
      <c r="Z29" s="129">
        <v>0.9</v>
      </c>
      <c r="AA29" s="88"/>
      <c r="AB29" s="88"/>
      <c r="AC29" s="88"/>
      <c r="AD29" s="263"/>
      <c r="AE29" s="123"/>
      <c r="AF29" s="7"/>
      <c r="AG29" s="224"/>
      <c r="AH29" s="7"/>
      <c r="AI29" s="7"/>
      <c r="AJ29" s="7"/>
      <c r="AK29" s="624"/>
    </row>
    <row r="30" spans="1:37" ht="16.5" customHeight="1" thickBot="1">
      <c r="A30" s="346" t="s">
        <v>79</v>
      </c>
      <c r="B30" s="347">
        <v>595</v>
      </c>
      <c r="C30" s="348" t="s">
        <v>73</v>
      </c>
      <c r="D30" s="363">
        <f>ROUND(D29*F25/1000,2)</f>
        <v>0.5</v>
      </c>
      <c r="E30" s="341">
        <f>D30</f>
        <v>0.5</v>
      </c>
      <c r="F30" s="363">
        <f>F29*F25/1000</f>
        <v>0.3</v>
      </c>
      <c r="G30" s="341">
        <f>ROUND(F30,2)</f>
        <v>0.3</v>
      </c>
      <c r="H30" s="372"/>
      <c r="I30" s="349"/>
      <c r="J30" s="350"/>
      <c r="K30" s="350"/>
      <c r="L30" s="350"/>
      <c r="M30" s="420"/>
      <c r="N30" s="350"/>
      <c r="O30" s="361">
        <f>O29*B25/1000</f>
        <v>0</v>
      </c>
      <c r="P30" s="849"/>
      <c r="Q30" s="905"/>
      <c r="R30" s="341">
        <f>ROUND(R29*B25/1000,2)</f>
        <v>0.17</v>
      </c>
      <c r="S30" s="349">
        <f>S29*F25/1000</f>
        <v>0.12</v>
      </c>
      <c r="T30" s="339">
        <f>S30</f>
        <v>0.12</v>
      </c>
      <c r="U30" s="341">
        <f>ROUND(U29*B25/1000,2)</f>
        <v>0.26</v>
      </c>
      <c r="V30" s="341"/>
      <c r="W30" s="341"/>
      <c r="X30" s="349">
        <f>X29*F25/1000</f>
        <v>0.32</v>
      </c>
      <c r="Y30" s="339">
        <f>ROUND(X30,2)</f>
        <v>0.32</v>
      </c>
      <c r="Z30" s="341">
        <f>Z29*B25/1000</f>
        <v>0.09</v>
      </c>
      <c r="AA30" s="350"/>
      <c r="AB30" s="350"/>
      <c r="AC30" s="350"/>
      <c r="AD30" s="399">
        <f>ROUND(E30+G30+H30+J30+K30+L30+O30+R30+T30+U30+V30+W30+Y30+Z30+AB30+AC30,2)</f>
        <v>1.76</v>
      </c>
      <c r="AE30" s="344">
        <f>AD30*B30</f>
        <v>1047.2</v>
      </c>
      <c r="AF30" s="7"/>
      <c r="AG30" s="223">
        <f>AD30+AD130</f>
        <v>3.46</v>
      </c>
      <c r="AH30" s="7" t="str">
        <f>A30</f>
        <v>Масло слив.</v>
      </c>
      <c r="AI30" s="7"/>
      <c r="AJ30" s="7"/>
      <c r="AK30" s="7"/>
    </row>
    <row r="31" spans="1:37" ht="12.75" customHeight="1" thickTop="1">
      <c r="A31" s="133"/>
      <c r="B31" s="121"/>
      <c r="C31" s="77" t="s">
        <v>72</v>
      </c>
      <c r="D31" s="296"/>
      <c r="E31" s="88"/>
      <c r="F31" s="90"/>
      <c r="G31" s="88"/>
      <c r="H31" s="280"/>
      <c r="I31" s="108"/>
      <c r="J31" s="88"/>
      <c r="K31" s="88"/>
      <c r="L31" s="88"/>
      <c r="M31" s="280"/>
      <c r="N31" s="411">
        <v>3</v>
      </c>
      <c r="O31" s="264">
        <v>4</v>
      </c>
      <c r="P31" s="897"/>
      <c r="Q31" s="904"/>
      <c r="R31" s="88"/>
      <c r="S31" s="177">
        <f>4.5/70*S26</f>
        <v>4.5</v>
      </c>
      <c r="T31" s="256">
        <f>S31/S26*T26</f>
        <v>4.5</v>
      </c>
      <c r="U31" s="131"/>
      <c r="V31" s="129"/>
      <c r="W31" s="129"/>
      <c r="X31" s="555"/>
      <c r="Y31" s="131"/>
      <c r="Z31" s="131"/>
      <c r="AA31" s="131"/>
      <c r="AB31" s="88"/>
      <c r="AC31" s="88"/>
      <c r="AD31" s="263"/>
      <c r="AE31" s="123"/>
      <c r="AF31" s="7"/>
      <c r="AG31" s="224"/>
      <c r="AH31" s="7"/>
      <c r="AI31" s="7"/>
      <c r="AJ31" s="7"/>
      <c r="AK31" s="7"/>
    </row>
    <row r="32" spans="1:37" ht="15.75" customHeight="1" thickBot="1">
      <c r="A32" s="346" t="s">
        <v>78</v>
      </c>
      <c r="B32" s="347">
        <v>104.42</v>
      </c>
      <c r="C32" s="348" t="s">
        <v>73</v>
      </c>
      <c r="D32" s="382"/>
      <c r="E32" s="350"/>
      <c r="F32" s="363"/>
      <c r="G32" s="350"/>
      <c r="H32" s="420"/>
      <c r="I32" s="349"/>
      <c r="J32" s="350"/>
      <c r="K32" s="350"/>
      <c r="L32" s="350"/>
      <c r="M32" s="420"/>
      <c r="N32" s="376">
        <f>N31*B25/1000</f>
        <v>0.3</v>
      </c>
      <c r="O32" s="361">
        <f>O31*B25/1000</f>
        <v>0.4</v>
      </c>
      <c r="P32" s="849"/>
      <c r="Q32" s="906"/>
      <c r="R32" s="341"/>
      <c r="S32" s="349">
        <f>S31*F25/1000</f>
        <v>0.45</v>
      </c>
      <c r="T32" s="339">
        <f>S32</f>
        <v>0.45</v>
      </c>
      <c r="U32" s="350"/>
      <c r="V32" s="350"/>
      <c r="W32" s="350"/>
      <c r="X32" s="556"/>
      <c r="Y32" s="350"/>
      <c r="Z32" s="341"/>
      <c r="AA32" s="341"/>
      <c r="AB32" s="350"/>
      <c r="AC32" s="350"/>
      <c r="AD32" s="399">
        <f>ROUND(E32+G32+H32+J32+K32+L32+N32+O32+R32+T32+U32+V32+W32+Y32+Z32+AB32+AC32,2)</f>
        <v>1.1499999999999999</v>
      </c>
      <c r="AE32" s="344">
        <f>AD32*B32</f>
        <v>120.083</v>
      </c>
      <c r="AF32" s="7"/>
      <c r="AG32" s="223">
        <f>AD32+AD132</f>
        <v>2.06</v>
      </c>
      <c r="AH32" s="7" t="str">
        <f>A32</f>
        <v>Масло раст.</v>
      </c>
      <c r="AI32" s="7"/>
      <c r="AJ32" s="7"/>
      <c r="AK32" s="7"/>
    </row>
    <row r="33" spans="1:37" ht="12" customHeight="1" thickTop="1">
      <c r="A33" s="133"/>
      <c r="B33" s="121"/>
      <c r="C33" s="77" t="s">
        <v>72</v>
      </c>
      <c r="D33" s="296"/>
      <c r="E33" s="88"/>
      <c r="F33" s="90">
        <v>132</v>
      </c>
      <c r="G33" s="129">
        <f>F33/F26*G26</f>
        <v>132</v>
      </c>
      <c r="H33" s="457"/>
      <c r="I33" s="108"/>
      <c r="J33" s="129"/>
      <c r="K33" s="88"/>
      <c r="L33" s="88"/>
      <c r="M33" s="88"/>
      <c r="N33" s="88"/>
      <c r="O33" s="263"/>
      <c r="P33" s="215"/>
      <c r="Q33" s="904"/>
      <c r="R33" s="131">
        <v>15</v>
      </c>
      <c r="S33" s="177"/>
      <c r="T33" s="256"/>
      <c r="U33" s="131">
        <v>39</v>
      </c>
      <c r="V33" s="129"/>
      <c r="W33" s="129"/>
      <c r="X33" s="177"/>
      <c r="Y33" s="629"/>
      <c r="Z33" s="131">
        <v>10</v>
      </c>
      <c r="AA33" s="88"/>
      <c r="AB33" s="114">
        <f>AB34/E25*1000</f>
        <v>188.99999999999997</v>
      </c>
      <c r="AC33" s="88"/>
      <c r="AD33" s="263"/>
      <c r="AE33" s="123"/>
      <c r="AF33" s="7"/>
      <c r="AG33" s="224"/>
      <c r="AH33" s="7"/>
      <c r="AI33" s="7"/>
      <c r="AJ33" s="7"/>
      <c r="AK33" s="7"/>
    </row>
    <row r="34" spans="1:37" ht="15.95" customHeight="1" thickBot="1">
      <c r="A34" s="346" t="s">
        <v>81</v>
      </c>
      <c r="B34" s="347">
        <v>67.8</v>
      </c>
      <c r="C34" s="348" t="s">
        <v>73</v>
      </c>
      <c r="D34" s="382"/>
      <c r="E34" s="350"/>
      <c r="F34" s="363">
        <f>F33*F25/1000</f>
        <v>13.2</v>
      </c>
      <c r="G34" s="365">
        <f>F34</f>
        <v>13.2</v>
      </c>
      <c r="H34" s="564"/>
      <c r="I34" s="349"/>
      <c r="J34" s="421"/>
      <c r="K34" s="350"/>
      <c r="L34" s="350"/>
      <c r="M34" s="350"/>
      <c r="N34" s="350"/>
      <c r="O34" s="360"/>
      <c r="P34" s="379"/>
      <c r="Q34" s="905"/>
      <c r="R34" s="786">
        <f>ROUND(R33*B25/1000,2)</f>
        <v>1.5</v>
      </c>
      <c r="S34" s="349"/>
      <c r="T34" s="340"/>
      <c r="U34" s="365">
        <f>ROUND(U33*B25/1000,2)</f>
        <v>3.9</v>
      </c>
      <c r="V34" s="350"/>
      <c r="W34" s="350"/>
      <c r="X34" s="349"/>
      <c r="Y34" s="814"/>
      <c r="Z34" s="365">
        <f>ROUND(Z33*Z25/1000,2)</f>
        <v>1</v>
      </c>
      <c r="AA34" s="350"/>
      <c r="AB34" s="814">
        <v>18.899999999999999</v>
      </c>
      <c r="AC34" s="350"/>
      <c r="AD34" s="400">
        <f>ROUND(E34+G34+H34+J34+K34+L34+O34+R34+T34+U34+V34+W34+Y34+Z34+AB34+AC34,3)</f>
        <v>38.5</v>
      </c>
      <c r="AE34" s="344">
        <f>AD34*B34</f>
        <v>2610.2999999999997</v>
      </c>
      <c r="AF34" s="7"/>
      <c r="AG34" s="225">
        <f>AD34+AD134</f>
        <v>73.3</v>
      </c>
      <c r="AH34" s="7" t="str">
        <f>A34</f>
        <v>Молоко св.</v>
      </c>
      <c r="AI34" s="7"/>
      <c r="AJ34" s="7"/>
      <c r="AK34" s="7"/>
    </row>
    <row r="35" spans="1:37" ht="12" customHeight="1" thickTop="1">
      <c r="A35" s="133"/>
      <c r="B35" s="121"/>
      <c r="C35" s="77" t="s">
        <v>72</v>
      </c>
      <c r="D35" s="108"/>
      <c r="E35" s="129"/>
      <c r="F35" s="90"/>
      <c r="G35" s="88"/>
      <c r="H35" s="280"/>
      <c r="I35" s="108"/>
      <c r="J35" s="88"/>
      <c r="K35" s="88"/>
      <c r="L35" s="88"/>
      <c r="M35" s="88"/>
      <c r="N35" s="88"/>
      <c r="O35" s="263"/>
      <c r="P35" s="215"/>
      <c r="Q35" s="978">
        <f>Q36/B25*1000</f>
        <v>10</v>
      </c>
      <c r="R35" s="254"/>
      <c r="S35" s="177"/>
      <c r="T35" s="256"/>
      <c r="U35" s="88"/>
      <c r="V35" s="88"/>
      <c r="W35" s="88"/>
      <c r="X35" s="177">
        <f>3.2/80*X26</f>
        <v>3.2</v>
      </c>
      <c r="Y35" s="256">
        <f>X35/X26*Y26</f>
        <v>3.2</v>
      </c>
      <c r="Z35" s="88"/>
      <c r="AA35" s="88"/>
      <c r="AB35" s="88"/>
      <c r="AC35" s="88"/>
      <c r="AD35" s="263"/>
      <c r="AE35" s="123"/>
      <c r="AF35" s="7"/>
      <c r="AG35" s="224"/>
      <c r="AH35" s="7"/>
      <c r="AI35" s="7"/>
      <c r="AJ35" s="7"/>
      <c r="AK35" s="7"/>
    </row>
    <row r="36" spans="1:37" ht="15.95" customHeight="1" thickBot="1">
      <c r="A36" s="346" t="s">
        <v>20</v>
      </c>
      <c r="B36" s="347">
        <v>227</v>
      </c>
      <c r="C36" s="348" t="s">
        <v>73</v>
      </c>
      <c r="D36" s="349"/>
      <c r="E36" s="341"/>
      <c r="F36" s="363"/>
      <c r="G36" s="350"/>
      <c r="H36" s="420"/>
      <c r="I36" s="349"/>
      <c r="J36" s="350"/>
      <c r="K36" s="340"/>
      <c r="L36" s="350"/>
      <c r="M36" s="350"/>
      <c r="N36" s="350"/>
      <c r="O36" s="360"/>
      <c r="P36" s="379"/>
      <c r="Q36" s="906">
        <v>1</v>
      </c>
      <c r="R36" s="350"/>
      <c r="S36" s="349"/>
      <c r="T36" s="340"/>
      <c r="U36" s="350"/>
      <c r="V36" s="350"/>
      <c r="W36" s="350"/>
      <c r="X36" s="349">
        <f>X35*F25/1000</f>
        <v>0.32</v>
      </c>
      <c r="Y36" s="339">
        <f>ROUND(X36,2)</f>
        <v>0.32</v>
      </c>
      <c r="Z36" s="350"/>
      <c r="AA36" s="350"/>
      <c r="AB36" s="350"/>
      <c r="AC36" s="350"/>
      <c r="AD36" s="399">
        <f>ROUND(E36+G36+H36+J36+K36+L36+O36+Q36+R36+T36+U36+V36+W36+Y36+Z36+AB36+AC36,2)</f>
        <v>1.32</v>
      </c>
      <c r="AE36" s="344">
        <f>AD36*B36</f>
        <v>299.64</v>
      </c>
      <c r="AF36" s="7"/>
      <c r="AG36" s="225">
        <f>AD36+AD136</f>
        <v>1.6400000000000001</v>
      </c>
      <c r="AH36" s="7" t="str">
        <f>A36</f>
        <v>Сметана</v>
      </c>
      <c r="AI36" s="7"/>
      <c r="AJ36" s="7"/>
      <c r="AK36" s="7"/>
    </row>
    <row r="37" spans="1:37" ht="12.75" customHeight="1" thickTop="1">
      <c r="A37" s="133"/>
      <c r="B37" s="121"/>
      <c r="C37" s="77" t="s">
        <v>72</v>
      </c>
      <c r="D37" s="305"/>
      <c r="E37" s="88"/>
      <c r="F37" s="430"/>
      <c r="G37" s="129"/>
      <c r="H37" s="457"/>
      <c r="I37" s="108"/>
      <c r="J37" s="88"/>
      <c r="K37" s="88"/>
      <c r="L37" s="88"/>
      <c r="M37" s="88"/>
      <c r="N37" s="88"/>
      <c r="O37" s="263"/>
      <c r="P37" s="215"/>
      <c r="Q37" s="902"/>
      <c r="R37" s="827"/>
      <c r="S37" s="500">
        <f>6/70*S26</f>
        <v>6</v>
      </c>
      <c r="T37" s="129">
        <f>S37/S26*T26</f>
        <v>6</v>
      </c>
      <c r="U37" s="88"/>
      <c r="V37" s="129"/>
      <c r="W37" s="129"/>
      <c r="X37" s="177">
        <f>3.2/80*X26</f>
        <v>3.2</v>
      </c>
      <c r="Y37" s="256">
        <f>X37/X26*Y26</f>
        <v>3.2</v>
      </c>
      <c r="Z37" s="88"/>
      <c r="AA37" s="88"/>
      <c r="AB37" s="88"/>
      <c r="AC37" s="88"/>
      <c r="AD37" s="263"/>
      <c r="AE37" s="123"/>
      <c r="AF37" s="7"/>
      <c r="AG37" s="224"/>
      <c r="AH37" s="7"/>
      <c r="AI37" s="7"/>
      <c r="AJ37" s="7"/>
      <c r="AK37" s="7"/>
    </row>
    <row r="38" spans="1:37" ht="16.5" customHeight="1" thickBot="1">
      <c r="A38" s="346" t="s">
        <v>22</v>
      </c>
      <c r="B38" s="347">
        <v>10</v>
      </c>
      <c r="C38" s="348" t="s">
        <v>74</v>
      </c>
      <c r="D38" s="385"/>
      <c r="E38" s="350"/>
      <c r="F38" s="532"/>
      <c r="G38" s="386"/>
      <c r="H38" s="533"/>
      <c r="I38" s="531"/>
      <c r="J38" s="386"/>
      <c r="K38" s="386"/>
      <c r="L38" s="386"/>
      <c r="M38" s="386"/>
      <c r="N38" s="386"/>
      <c r="O38" s="832"/>
      <c r="P38" s="898"/>
      <c r="Q38" s="908"/>
      <c r="R38" s="470"/>
      <c r="S38" s="530">
        <f>ROUND(S37*S25/48,0)</f>
        <v>13</v>
      </c>
      <c r="T38" s="470">
        <f>S38</f>
        <v>13</v>
      </c>
      <c r="U38" s="386"/>
      <c r="V38" s="470"/>
      <c r="W38" s="470"/>
      <c r="X38" s="531">
        <f>ROUND(X37*F25/1000/0.048,0)</f>
        <v>7</v>
      </c>
      <c r="Y38" s="596">
        <f>X38</f>
        <v>7</v>
      </c>
      <c r="Z38" s="386"/>
      <c r="AA38" s="386"/>
      <c r="AB38" s="350"/>
      <c r="AC38" s="350"/>
      <c r="AD38" s="473">
        <f>ROUND(E38+G38+H38+J38+K38+L38+O38+R38+T38+U38+V38+W38+Y38+Z38+AB38+AC38,0)</f>
        <v>20</v>
      </c>
      <c r="AE38" s="344">
        <f>AD38*B38</f>
        <v>200</v>
      </c>
      <c r="AF38" s="7"/>
      <c r="AG38" s="476">
        <f>AD38+AD138</f>
        <v>37</v>
      </c>
      <c r="AH38" s="7" t="str">
        <f>A38</f>
        <v>Яйцо</v>
      </c>
      <c r="AI38" s="7"/>
      <c r="AJ38" s="7"/>
      <c r="AK38" s="7"/>
    </row>
    <row r="39" spans="1:37" ht="12" customHeight="1" thickTop="1">
      <c r="A39" s="133"/>
      <c r="B39" s="121"/>
      <c r="C39" s="77" t="s">
        <v>72</v>
      </c>
      <c r="D39" s="287"/>
      <c r="E39" s="88"/>
      <c r="F39" s="90">
        <v>11.5</v>
      </c>
      <c r="G39" s="129">
        <f>F39/F26*G26</f>
        <v>11.5</v>
      </c>
      <c r="H39" s="280"/>
      <c r="I39" s="108"/>
      <c r="J39" s="88"/>
      <c r="K39" s="88"/>
      <c r="L39" s="88"/>
      <c r="M39" s="88"/>
      <c r="N39" s="88"/>
      <c r="O39" s="263"/>
      <c r="P39" s="215"/>
      <c r="Q39" s="907"/>
      <c r="R39" s="254"/>
      <c r="S39" s="177"/>
      <c r="T39" s="244"/>
      <c r="U39" s="88"/>
      <c r="V39" s="88"/>
      <c r="W39" s="88"/>
      <c r="X39" s="555"/>
      <c r="Y39" s="828"/>
      <c r="Z39" s="88"/>
      <c r="AA39" s="88"/>
      <c r="AB39" s="88"/>
      <c r="AC39" s="88"/>
      <c r="AD39" s="263"/>
      <c r="AE39" s="123"/>
      <c r="AF39" s="7"/>
      <c r="AG39" s="224"/>
      <c r="AH39" s="7"/>
      <c r="AI39" s="7"/>
      <c r="AJ39" s="7"/>
      <c r="AK39" s="7"/>
    </row>
    <row r="40" spans="1:37" ht="16.5" customHeight="1" thickBot="1">
      <c r="A40" s="346" t="s">
        <v>25</v>
      </c>
      <c r="B40" s="347">
        <v>40.08</v>
      </c>
      <c r="C40" s="348" t="s">
        <v>73</v>
      </c>
      <c r="D40" s="385"/>
      <c r="E40" s="341"/>
      <c r="F40" s="363">
        <f>F39*F25/1000</f>
        <v>1.1499999999999999</v>
      </c>
      <c r="G40" s="341">
        <f>F40</f>
        <v>1.1499999999999999</v>
      </c>
      <c r="H40" s="420"/>
      <c r="I40" s="349"/>
      <c r="J40" s="350"/>
      <c r="K40" s="340"/>
      <c r="L40" s="350"/>
      <c r="M40" s="350"/>
      <c r="N40" s="350"/>
      <c r="O40" s="360"/>
      <c r="P40" s="379"/>
      <c r="Q40" s="905"/>
      <c r="R40" s="350"/>
      <c r="S40" s="363"/>
      <c r="T40" s="340"/>
      <c r="U40" s="350"/>
      <c r="V40" s="350"/>
      <c r="W40" s="350"/>
      <c r="X40" s="556"/>
      <c r="Y40" s="340"/>
      <c r="Z40" s="350"/>
      <c r="AA40" s="350"/>
      <c r="AB40" s="350"/>
      <c r="AC40" s="350"/>
      <c r="AD40" s="399">
        <f>ROUND(E40+G40+H40+J40+K40+L40+O40+R40+T40+U40+V40+W40+Y40+Z40+AB40+AC40,2)</f>
        <v>1.1499999999999999</v>
      </c>
      <c r="AE40" s="344">
        <f>AD40*B40</f>
        <v>46.091999999999992</v>
      </c>
      <c r="AF40" s="7"/>
      <c r="AG40" s="226">
        <f>AD40+AD140</f>
        <v>2.2999999999999998</v>
      </c>
      <c r="AH40" s="7" t="str">
        <f>A40</f>
        <v>Пшено</v>
      </c>
      <c r="AI40" s="7"/>
      <c r="AJ40" s="7"/>
      <c r="AK40" s="7"/>
    </row>
    <row r="41" spans="1:37" ht="12.75" customHeight="1">
      <c r="A41" s="133"/>
      <c r="B41" s="121"/>
      <c r="C41" s="295" t="s">
        <v>72</v>
      </c>
      <c r="D41" s="287"/>
      <c r="E41" s="88"/>
      <c r="F41" s="90">
        <v>15</v>
      </c>
      <c r="G41" s="129">
        <f>F41/F26*G26</f>
        <v>15</v>
      </c>
      <c r="H41" s="280"/>
      <c r="I41" s="108"/>
      <c r="J41" s="88"/>
      <c r="K41" s="88"/>
      <c r="L41" s="88"/>
      <c r="M41" s="88"/>
      <c r="N41" s="88"/>
      <c r="O41" s="426"/>
      <c r="P41" s="215"/>
      <c r="Q41" s="904"/>
      <c r="R41" s="131"/>
      <c r="S41" s="177">
        <f>10.5/70*S26</f>
        <v>10.5</v>
      </c>
      <c r="T41" s="256">
        <f>S41/S26*T26</f>
        <v>10.5</v>
      </c>
      <c r="U41" s="131"/>
      <c r="V41" s="129"/>
      <c r="W41" s="129"/>
      <c r="X41" s="177"/>
      <c r="Y41" s="256"/>
      <c r="Z41" s="88"/>
      <c r="AA41" s="88"/>
      <c r="AB41" s="88"/>
      <c r="AC41" s="88"/>
      <c r="AD41" s="263"/>
      <c r="AE41" s="126"/>
      <c r="AF41" s="7"/>
      <c r="AG41" s="224"/>
      <c r="AH41" s="7"/>
      <c r="AI41" s="7"/>
      <c r="AJ41" s="7"/>
      <c r="AK41" s="7"/>
    </row>
    <row r="42" spans="1:37" ht="16.5" customHeight="1" thickBot="1">
      <c r="A42" s="346" t="s">
        <v>24</v>
      </c>
      <c r="B42" s="347">
        <v>81.92</v>
      </c>
      <c r="C42" s="348" t="s">
        <v>73</v>
      </c>
      <c r="D42" s="385"/>
      <c r="E42" s="350"/>
      <c r="F42" s="363">
        <f>F41*F25/1000</f>
        <v>1.5</v>
      </c>
      <c r="G42" s="341">
        <f>F42</f>
        <v>1.5</v>
      </c>
      <c r="H42" s="420"/>
      <c r="I42" s="349"/>
      <c r="J42" s="350"/>
      <c r="K42" s="350"/>
      <c r="L42" s="350"/>
      <c r="M42" s="350"/>
      <c r="N42" s="350"/>
      <c r="O42" s="361"/>
      <c r="P42" s="849"/>
      <c r="Q42" s="905"/>
      <c r="R42" s="341"/>
      <c r="S42" s="349">
        <f>S41*F25/1000</f>
        <v>1.05</v>
      </c>
      <c r="T42" s="339">
        <f>S42</f>
        <v>1.05</v>
      </c>
      <c r="U42" s="350"/>
      <c r="V42" s="341"/>
      <c r="W42" s="341"/>
      <c r="X42" s="349"/>
      <c r="Y42" s="339"/>
      <c r="Z42" s="350"/>
      <c r="AA42" s="350"/>
      <c r="AB42" s="350"/>
      <c r="AC42" s="350"/>
      <c r="AD42" s="399">
        <f>ROUND(E42+G42+H42+J42+K42+L42+O42+R42+T42+U42+V42+W42+Y42+Z42+AB42+AC42,2)</f>
        <v>2.5499999999999998</v>
      </c>
      <c r="AE42" s="344">
        <f>AD42*B42</f>
        <v>208.89599999999999</v>
      </c>
      <c r="AF42" s="7"/>
      <c r="AG42" s="223">
        <f>AD42+AD142</f>
        <v>4.9499999999999993</v>
      </c>
      <c r="AH42" s="7" t="str">
        <f>A42</f>
        <v>Рис</v>
      </c>
      <c r="AI42" s="7"/>
      <c r="AJ42" s="7"/>
      <c r="AK42" s="7"/>
    </row>
    <row r="43" spans="1:37" ht="12.75" customHeight="1" thickTop="1">
      <c r="A43" s="133"/>
      <c r="B43" s="121"/>
      <c r="C43" s="77" t="s">
        <v>72</v>
      </c>
      <c r="D43" s="287"/>
      <c r="E43" s="88"/>
      <c r="F43" s="90"/>
      <c r="G43" s="129"/>
      <c r="H43" s="457"/>
      <c r="I43" s="108"/>
      <c r="J43" s="88"/>
      <c r="K43" s="88"/>
      <c r="L43" s="88"/>
      <c r="M43" s="88"/>
      <c r="N43" s="88"/>
      <c r="O43" s="263"/>
      <c r="P43" s="215"/>
      <c r="Q43" s="902"/>
      <c r="R43" s="129"/>
      <c r="S43" s="177"/>
      <c r="T43" s="256"/>
      <c r="U43" s="88"/>
      <c r="V43" s="129"/>
      <c r="W43" s="129"/>
      <c r="X43" s="177">
        <f>75/80*X26</f>
        <v>75</v>
      </c>
      <c r="Y43" s="256">
        <f>X43/X26*Y26</f>
        <v>75</v>
      </c>
      <c r="Z43" s="88"/>
      <c r="AA43" s="88"/>
      <c r="AB43" s="88"/>
      <c r="AC43" s="88"/>
      <c r="AD43" s="263"/>
      <c r="AE43" s="123"/>
      <c r="AF43" s="7"/>
      <c r="AG43" s="224"/>
      <c r="AH43" s="7"/>
      <c r="AI43" s="7"/>
      <c r="AJ43" s="7"/>
      <c r="AK43" s="7"/>
    </row>
    <row r="44" spans="1:37" ht="15.75" customHeight="1" thickBot="1">
      <c r="A44" s="346" t="s">
        <v>21</v>
      </c>
      <c r="B44" s="347">
        <v>319.5</v>
      </c>
      <c r="C44" s="348" t="s">
        <v>73</v>
      </c>
      <c r="D44" s="385"/>
      <c r="E44" s="350"/>
      <c r="F44" s="363"/>
      <c r="G44" s="341"/>
      <c r="H44" s="372"/>
      <c r="I44" s="349"/>
      <c r="J44" s="350"/>
      <c r="K44" s="350"/>
      <c r="L44" s="350"/>
      <c r="M44" s="350"/>
      <c r="N44" s="350"/>
      <c r="O44" s="361"/>
      <c r="P44" s="849"/>
      <c r="Q44" s="903"/>
      <c r="R44" s="341"/>
      <c r="S44" s="349"/>
      <c r="T44" s="339"/>
      <c r="U44" s="350"/>
      <c r="V44" s="341"/>
      <c r="W44" s="341"/>
      <c r="X44" s="349">
        <f>X43*F25/1000</f>
        <v>7.5</v>
      </c>
      <c r="Y44" s="339">
        <f>ROUND(X44,2)</f>
        <v>7.5</v>
      </c>
      <c r="Z44" s="350"/>
      <c r="AA44" s="350"/>
      <c r="AB44" s="350"/>
      <c r="AC44" s="350"/>
      <c r="AD44" s="399">
        <f>ROUND(E44+G44+H44+J44+K44+L44+O44+R44+T44+U44+V44+W44+Y44+Z44+AB44+AC44,2)</f>
        <v>7.5</v>
      </c>
      <c r="AE44" s="344">
        <f>AD44*B44</f>
        <v>2396.25</v>
      </c>
      <c r="AF44" s="7"/>
      <c r="AG44" s="223">
        <f>AD44+AD144</f>
        <v>15</v>
      </c>
      <c r="AH44" s="7" t="str">
        <f>A44</f>
        <v>Творог</v>
      </c>
      <c r="AI44" s="7"/>
      <c r="AJ44" s="7"/>
      <c r="AK44" s="7"/>
    </row>
    <row r="45" spans="1:37" ht="12" customHeight="1" thickTop="1">
      <c r="A45" s="133"/>
      <c r="B45" s="121"/>
      <c r="C45" s="77" t="s">
        <v>72</v>
      </c>
      <c r="D45" s="287"/>
      <c r="E45" s="88"/>
      <c r="F45" s="90"/>
      <c r="G45" s="129"/>
      <c r="H45" s="457"/>
      <c r="I45" s="108"/>
      <c r="J45" s="88"/>
      <c r="K45" s="88"/>
      <c r="L45" s="88"/>
      <c r="M45" s="184">
        <f>M46/B25*1000</f>
        <v>30</v>
      </c>
      <c r="N45" s="88"/>
      <c r="O45" s="428"/>
      <c r="P45" s="891"/>
      <c r="Q45" s="907"/>
      <c r="R45" s="88"/>
      <c r="S45" s="177"/>
      <c r="T45" s="256"/>
      <c r="U45" s="88"/>
      <c r="V45" s="129"/>
      <c r="W45" s="129"/>
      <c r="X45" s="177"/>
      <c r="Y45" s="256"/>
      <c r="Z45" s="88"/>
      <c r="AA45" s="88"/>
      <c r="AB45" s="88"/>
      <c r="AC45" s="88"/>
      <c r="AD45" s="263"/>
      <c r="AE45" s="123"/>
      <c r="AF45" s="7"/>
      <c r="AG45" s="224"/>
      <c r="AH45" s="7"/>
      <c r="AI45" s="7"/>
      <c r="AJ45" s="7"/>
      <c r="AK45" s="7"/>
    </row>
    <row r="46" spans="1:37" ht="15.75" customHeight="1" thickBot="1">
      <c r="A46" s="346" t="s">
        <v>225</v>
      </c>
      <c r="B46" s="347">
        <v>230</v>
      </c>
      <c r="C46" s="348" t="s">
        <v>73</v>
      </c>
      <c r="D46" s="385"/>
      <c r="E46" s="350"/>
      <c r="F46" s="363"/>
      <c r="G46" s="341"/>
      <c r="H46" s="372"/>
      <c r="I46" s="349"/>
      <c r="J46" s="350"/>
      <c r="K46" s="350"/>
      <c r="L46" s="350"/>
      <c r="M46" s="590">
        <v>3</v>
      </c>
      <c r="N46" s="420"/>
      <c r="O46" s="361"/>
      <c r="P46" s="849"/>
      <c r="Q46" s="905"/>
      <c r="R46" s="350"/>
      <c r="S46" s="349"/>
      <c r="T46" s="340"/>
      <c r="U46" s="350"/>
      <c r="V46" s="350"/>
      <c r="W46" s="350"/>
      <c r="X46" s="349"/>
      <c r="Y46" s="340"/>
      <c r="Z46" s="350"/>
      <c r="AA46" s="350"/>
      <c r="AB46" s="350"/>
      <c r="AC46" s="350"/>
      <c r="AD46" s="399">
        <f>ROUND(E46+G46+H46+J46+K46+L46+M46+N46+O46+R46+T46+U46+V46+W46+Y46+Z46+AB46+AC46,2)</f>
        <v>3</v>
      </c>
      <c r="AE46" s="344">
        <f>AD46*B46</f>
        <v>690</v>
      </c>
      <c r="AF46" s="7"/>
      <c r="AG46" s="223">
        <f>AD46+AD146</f>
        <v>5</v>
      </c>
      <c r="AH46" s="7" t="str">
        <f>A46</f>
        <v>Зефир</v>
      </c>
      <c r="AI46" s="7"/>
      <c r="AJ46" s="7"/>
      <c r="AK46" s="7"/>
    </row>
    <row r="47" spans="1:37" ht="11.25" customHeight="1" thickTop="1">
      <c r="A47" s="133"/>
      <c r="B47" s="121"/>
      <c r="C47" s="77" t="s">
        <v>72</v>
      </c>
      <c r="D47" s="287"/>
      <c r="E47" s="88"/>
      <c r="F47" s="90">
        <v>2</v>
      </c>
      <c r="G47" s="129">
        <f>F47/F26*G26</f>
        <v>2</v>
      </c>
      <c r="H47" s="457"/>
      <c r="I47" s="108">
        <v>7</v>
      </c>
      <c r="J47" s="129">
        <f>I47/I26*J26</f>
        <v>6.9999999999999991</v>
      </c>
      <c r="K47" s="88"/>
      <c r="L47" s="88"/>
      <c r="M47" s="88"/>
      <c r="N47" s="281"/>
      <c r="O47" s="263"/>
      <c r="P47" s="215"/>
      <c r="Q47" s="214"/>
      <c r="R47" s="444"/>
      <c r="S47" s="108"/>
      <c r="T47" s="828"/>
      <c r="U47" s="131"/>
      <c r="V47" s="131">
        <v>7</v>
      </c>
      <c r="W47" s="88"/>
      <c r="X47" s="177">
        <f>5/80*X26</f>
        <v>5</v>
      </c>
      <c r="Y47" s="256">
        <f>X47/X26*Y26</f>
        <v>5</v>
      </c>
      <c r="Z47" s="131">
        <v>1.6</v>
      </c>
      <c r="AA47" s="131"/>
      <c r="AB47" s="131"/>
      <c r="AC47" s="88"/>
      <c r="AD47" s="263"/>
      <c r="AE47" s="123"/>
      <c r="AF47" s="7"/>
      <c r="AG47" s="224"/>
      <c r="AH47" s="7"/>
      <c r="AI47" s="7"/>
      <c r="AJ47" s="7"/>
      <c r="AK47" s="7"/>
    </row>
    <row r="48" spans="1:37" ht="16.5" customHeight="1" thickBot="1">
      <c r="A48" s="346" t="s">
        <v>77</v>
      </c>
      <c r="B48" s="347">
        <v>62.77</v>
      </c>
      <c r="C48" s="348" t="s">
        <v>73</v>
      </c>
      <c r="D48" s="385"/>
      <c r="E48" s="350"/>
      <c r="F48" s="363">
        <f>F47*F25/1000</f>
        <v>0.2</v>
      </c>
      <c r="G48" s="341">
        <f>F48</f>
        <v>0.2</v>
      </c>
      <c r="H48" s="420"/>
      <c r="I48" s="349">
        <f>I47*I25/1000</f>
        <v>0.7</v>
      </c>
      <c r="J48" s="341">
        <f>ROUND(I48,2)</f>
        <v>0.7</v>
      </c>
      <c r="K48" s="350"/>
      <c r="L48" s="350"/>
      <c r="M48" s="350"/>
      <c r="N48" s="372"/>
      <c r="O48" s="360"/>
      <c r="P48" s="379"/>
      <c r="Q48" s="906"/>
      <c r="R48" s="341"/>
      <c r="S48" s="349"/>
      <c r="T48" s="340"/>
      <c r="U48" s="350"/>
      <c r="V48" s="341">
        <f>ROUND(V47*B25/1000,2)</f>
        <v>0.7</v>
      </c>
      <c r="W48" s="350"/>
      <c r="X48" s="349">
        <f>X47*F25/1000</f>
        <v>0.5</v>
      </c>
      <c r="Y48" s="339">
        <f>ROUND(X48,2)</f>
        <v>0.5</v>
      </c>
      <c r="Z48" s="341">
        <f>ROUND(Z47*B25/1000,2)</f>
        <v>0.16</v>
      </c>
      <c r="AA48" s="341"/>
      <c r="AB48" s="341"/>
      <c r="AC48" s="350"/>
      <c r="AD48" s="399">
        <f>ROUND(E48+G48+H48+J48+K48+L48+N48+O48+R48+T48+U48+V48+W48+Y48+Z48+AB48+AC48,2)</f>
        <v>2.2599999999999998</v>
      </c>
      <c r="AE48" s="344">
        <f>AD48*B48</f>
        <v>141.86019999999999</v>
      </c>
      <c r="AF48" s="7"/>
      <c r="AG48" s="223">
        <f>AD48+AD148</f>
        <v>4.32</v>
      </c>
      <c r="AH48" s="7" t="str">
        <f>A48</f>
        <v>Сахар</v>
      </c>
      <c r="AI48" s="7"/>
      <c r="AJ48" s="7"/>
      <c r="AK48" s="7"/>
    </row>
    <row r="49" spans="1:37" ht="12.75" customHeight="1" thickTop="1">
      <c r="A49" s="133"/>
      <c r="B49" s="121"/>
      <c r="C49" s="77" t="s">
        <v>72</v>
      </c>
      <c r="D49" s="287"/>
      <c r="E49" s="88"/>
      <c r="F49" s="90"/>
      <c r="G49" s="88"/>
      <c r="H49" s="280"/>
      <c r="I49" s="108"/>
      <c r="J49" s="88"/>
      <c r="K49" s="88"/>
      <c r="L49" s="88"/>
      <c r="M49" s="88"/>
      <c r="N49" s="88"/>
      <c r="O49" s="263"/>
      <c r="P49" s="215"/>
      <c r="Q49" s="214"/>
      <c r="R49" s="88"/>
      <c r="S49" s="108"/>
      <c r="T49" s="828"/>
      <c r="U49" s="131"/>
      <c r="V49" s="131">
        <v>21.6</v>
      </c>
      <c r="W49" s="88"/>
      <c r="X49" s="555"/>
      <c r="Y49" s="828"/>
      <c r="Z49" s="131"/>
      <c r="AA49" s="131"/>
      <c r="AB49" s="88"/>
      <c r="AC49" s="88"/>
      <c r="AD49" s="263"/>
      <c r="AE49" s="123"/>
      <c r="AF49" s="7"/>
      <c r="AG49" s="224"/>
      <c r="AH49" s="7"/>
      <c r="AI49" s="7"/>
      <c r="AJ49" s="7"/>
      <c r="AK49" s="7"/>
    </row>
    <row r="50" spans="1:37" ht="15.75" customHeight="1" thickBot="1">
      <c r="A50" s="346" t="s">
        <v>146</v>
      </c>
      <c r="B50" s="347">
        <v>208</v>
      </c>
      <c r="C50" s="348" t="s">
        <v>73</v>
      </c>
      <c r="D50" s="385"/>
      <c r="E50" s="350"/>
      <c r="F50" s="363"/>
      <c r="G50" s="350"/>
      <c r="H50" s="420"/>
      <c r="I50" s="349"/>
      <c r="J50" s="350"/>
      <c r="K50" s="350"/>
      <c r="L50" s="350"/>
      <c r="M50" s="350"/>
      <c r="N50" s="350"/>
      <c r="O50" s="360"/>
      <c r="P50" s="379"/>
      <c r="Q50" s="905"/>
      <c r="R50" s="350"/>
      <c r="S50" s="349"/>
      <c r="T50" s="340"/>
      <c r="U50" s="341"/>
      <c r="V50" s="341">
        <f>V49*B25/1000</f>
        <v>2.16</v>
      </c>
      <c r="W50" s="350"/>
      <c r="X50" s="556"/>
      <c r="Y50" s="350"/>
      <c r="Z50" s="350"/>
      <c r="AA50" s="350"/>
      <c r="AB50" s="350"/>
      <c r="AC50" s="350"/>
      <c r="AD50" s="399">
        <f>ROUND(E50+G50+H50+J50+K50+L50+O50+R50+T50+U50+V50+W50+Y50+Z50+AB50+AC50,2)</f>
        <v>2.16</v>
      </c>
      <c r="AE50" s="344">
        <f>AD50*B50</f>
        <v>449.28000000000003</v>
      </c>
      <c r="AF50" s="7"/>
      <c r="AG50" s="223">
        <f>AD50+AD150</f>
        <v>3.96</v>
      </c>
      <c r="AH50" s="7" t="str">
        <f>A50</f>
        <v>Кисель конц.</v>
      </c>
      <c r="AI50" s="7"/>
      <c r="AJ50" s="7"/>
      <c r="AK50" s="7"/>
    </row>
    <row r="51" spans="1:37" ht="12" customHeight="1" thickTop="1">
      <c r="A51" s="141"/>
      <c r="B51" s="102"/>
      <c r="C51" s="77" t="s">
        <v>72</v>
      </c>
      <c r="D51" s="287"/>
      <c r="E51" s="104"/>
      <c r="F51" s="103"/>
      <c r="G51" s="104"/>
      <c r="H51" s="283"/>
      <c r="I51" s="108"/>
      <c r="J51" s="104"/>
      <c r="K51" s="104"/>
      <c r="L51" s="137">
        <f>L52/B25*1000</f>
        <v>180</v>
      </c>
      <c r="M51" s="184"/>
      <c r="N51" s="184"/>
      <c r="O51" s="265"/>
      <c r="P51" s="636"/>
      <c r="Q51" s="909"/>
      <c r="R51" s="104"/>
      <c r="S51" s="108"/>
      <c r="T51" s="829"/>
      <c r="U51" s="104"/>
      <c r="V51" s="104"/>
      <c r="W51" s="104"/>
      <c r="X51" s="557"/>
      <c r="Y51" s="104"/>
      <c r="Z51" s="104"/>
      <c r="AA51" s="104"/>
      <c r="AB51" s="104"/>
      <c r="AC51" s="104"/>
      <c r="AD51" s="263"/>
      <c r="AE51" s="123"/>
      <c r="AF51" s="7"/>
      <c r="AG51" s="224"/>
      <c r="AH51" s="7"/>
      <c r="AI51" s="7"/>
      <c r="AJ51" s="7"/>
      <c r="AK51" s="7"/>
    </row>
    <row r="52" spans="1:37" ht="15" customHeight="1" thickBot="1">
      <c r="A52" s="346" t="s">
        <v>123</v>
      </c>
      <c r="B52" s="347">
        <v>33.61</v>
      </c>
      <c r="C52" s="348" t="s">
        <v>73</v>
      </c>
      <c r="D52" s="385"/>
      <c r="E52" s="350"/>
      <c r="F52" s="363"/>
      <c r="G52" s="350"/>
      <c r="H52" s="420"/>
      <c r="I52" s="349"/>
      <c r="J52" s="350"/>
      <c r="K52" s="350"/>
      <c r="L52" s="590">
        <v>18</v>
      </c>
      <c r="M52" s="341"/>
      <c r="N52" s="341"/>
      <c r="O52" s="360"/>
      <c r="P52" s="379"/>
      <c r="Q52" s="905"/>
      <c r="R52" s="350"/>
      <c r="S52" s="349"/>
      <c r="T52" s="340"/>
      <c r="U52" s="350"/>
      <c r="V52" s="350"/>
      <c r="W52" s="350"/>
      <c r="X52" s="556"/>
      <c r="Y52" s="350"/>
      <c r="Z52" s="350"/>
      <c r="AA52" s="350"/>
      <c r="AB52" s="350"/>
      <c r="AC52" s="350"/>
      <c r="AD52" s="399">
        <f>ROUND(E52+G52+H52+J52+K52+L52+O52+R52+T52+U52+V52+W52+Y52+Z52+AB52+AC52,2)</f>
        <v>18</v>
      </c>
      <c r="AE52" s="344">
        <f>AD52*B52</f>
        <v>604.98</v>
      </c>
      <c r="AF52" s="7"/>
      <c r="AG52" s="226">
        <f>AD52+AD152</f>
        <v>33</v>
      </c>
      <c r="AH52" s="7" t="str">
        <f>A52</f>
        <v>Сок</v>
      </c>
      <c r="AI52" s="7"/>
      <c r="AJ52" s="7"/>
      <c r="AK52" s="7"/>
    </row>
    <row r="53" spans="1:37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558"/>
      <c r="Y53" s="22"/>
      <c r="Z53" s="22"/>
      <c r="AA53" s="22"/>
      <c r="AB53" s="22"/>
      <c r="AC53" s="22"/>
      <c r="AD53" s="18" t="s">
        <v>71</v>
      </c>
      <c r="AG53" s="227"/>
    </row>
    <row r="54" spans="1:37" ht="12" customHeight="1">
      <c r="A54" s="26" t="s">
        <v>53</v>
      </c>
      <c r="B54" s="20"/>
      <c r="C54" s="65"/>
      <c r="D54" s="6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8" t="s">
        <v>41</v>
      </c>
      <c r="R54" s="28"/>
      <c r="S54" s="28"/>
      <c r="T54" s="14"/>
      <c r="U54" s="14"/>
      <c r="V54" s="14"/>
      <c r="W54" s="28" t="s">
        <v>11</v>
      </c>
      <c r="X54" s="50"/>
      <c r="Y54" s="14"/>
      <c r="Z54" s="14"/>
      <c r="AA54" s="14"/>
      <c r="AB54" s="14"/>
      <c r="AC54" s="22"/>
      <c r="AD54" s="1047" t="s">
        <v>8</v>
      </c>
      <c r="AE54" s="1048"/>
      <c r="AF54" s="7"/>
      <c r="AG54" s="228"/>
      <c r="AH54" s="7"/>
      <c r="AI54" s="7"/>
      <c r="AJ54" s="7"/>
      <c r="AK54" s="7"/>
    </row>
    <row r="55" spans="1:37" ht="12" customHeight="1">
      <c r="A55" s="993"/>
      <c r="B55" s="19"/>
      <c r="C55" s="5" t="s">
        <v>52</v>
      </c>
      <c r="D55" s="991"/>
      <c r="E55" s="1052" t="str">
        <f>E19</f>
        <v>З А В Т Р А К</v>
      </c>
      <c r="F55" s="1052"/>
      <c r="G55" s="1052"/>
      <c r="H55" s="1052"/>
      <c r="I55" s="1052"/>
      <c r="J55" s="1052"/>
      <c r="K55" s="1053"/>
      <c r="L55" s="994" t="s">
        <v>69</v>
      </c>
      <c r="M55" s="995"/>
      <c r="N55" s="994"/>
      <c r="O55" s="1052" t="s">
        <v>16</v>
      </c>
      <c r="P55" s="1052"/>
      <c r="Q55" s="1052"/>
      <c r="R55" s="1052"/>
      <c r="S55" s="1052"/>
      <c r="T55" s="1052"/>
      <c r="U55" s="1052"/>
      <c r="V55" s="1052"/>
      <c r="W55" s="1052"/>
      <c r="X55" s="1053"/>
      <c r="Y55" s="1052" t="s">
        <v>17</v>
      </c>
      <c r="Z55" s="1052"/>
      <c r="AA55" s="1052"/>
      <c r="AB55" s="1052"/>
      <c r="AC55" s="1052"/>
      <c r="AD55" s="1058" t="s">
        <v>3</v>
      </c>
      <c r="AE55" s="1059"/>
      <c r="AF55" s="7"/>
      <c r="AG55" s="228"/>
      <c r="AH55" s="7"/>
      <c r="AI55" s="7"/>
      <c r="AJ55" s="7"/>
      <c r="AK55" s="7"/>
    </row>
    <row r="56" spans="1:37" ht="10.5" customHeight="1">
      <c r="A56" s="1002"/>
      <c r="B56" s="5"/>
      <c r="C56" s="5" t="s">
        <v>51</v>
      </c>
      <c r="D56" s="1001"/>
      <c r="E56" s="1054"/>
      <c r="F56" s="1054"/>
      <c r="G56" s="1054"/>
      <c r="H56" s="1054"/>
      <c r="I56" s="1054"/>
      <c r="J56" s="1054"/>
      <c r="K56" s="1055"/>
      <c r="L56" s="996"/>
      <c r="M56" s="997"/>
      <c r="N56" s="996"/>
      <c r="O56" s="1054"/>
      <c r="P56" s="1054"/>
      <c r="Q56" s="1054"/>
      <c r="R56" s="1054"/>
      <c r="S56" s="1054"/>
      <c r="T56" s="1054"/>
      <c r="U56" s="1054"/>
      <c r="V56" s="1054"/>
      <c r="W56" s="1054"/>
      <c r="X56" s="1055"/>
      <c r="Y56" s="1054"/>
      <c r="Z56" s="1054"/>
      <c r="AA56" s="1054"/>
      <c r="AB56" s="1054"/>
      <c r="AC56" s="1054"/>
      <c r="AD56" s="1119" t="s">
        <v>36</v>
      </c>
      <c r="AE56" s="1064"/>
      <c r="AF56" s="8"/>
      <c r="AG56" s="228"/>
      <c r="AH56" s="7"/>
      <c r="AI56" s="7"/>
      <c r="AJ56" s="7"/>
      <c r="AK56" s="7"/>
    </row>
    <row r="57" spans="1:37" ht="10.5" customHeight="1">
      <c r="A57" s="1002" t="s">
        <v>54</v>
      </c>
      <c r="B57" s="5" t="s">
        <v>65</v>
      </c>
      <c r="C57" s="5" t="s">
        <v>9</v>
      </c>
      <c r="D57" s="1035" t="str">
        <f>D21</f>
        <v>Бутерб. с маслом сл.</v>
      </c>
      <c r="E57" s="1123" t="str">
        <f>E21</f>
        <v xml:space="preserve">  5. /20</v>
      </c>
      <c r="F57" s="1035" t="str">
        <f>F21</f>
        <v>Каша "Дружба"</v>
      </c>
      <c r="G57" s="1038"/>
      <c r="H57" s="982"/>
      <c r="I57" s="1041" t="str">
        <f>I21</f>
        <v>Чай с лимоном 180 /7</v>
      </c>
      <c r="J57" s="1038"/>
      <c r="K57" s="1041" t="str">
        <f>K21</f>
        <v>Батон  порц.</v>
      </c>
      <c r="L57" s="1041" t="str">
        <f>L21</f>
        <v>Сок</v>
      </c>
      <c r="M57" s="1041" t="str">
        <f>M21</f>
        <v>Зефир</v>
      </c>
      <c r="N57" s="1041" t="str">
        <f>N21</f>
        <v>Салат из свеклы</v>
      </c>
      <c r="O57" s="1078" t="str">
        <f>O21</f>
        <v>Щи из св. капусты</v>
      </c>
      <c r="P57" s="1135" t="str">
        <f>P23</f>
        <v>Мясо в щи</v>
      </c>
      <c r="Q57" s="1038" t="str">
        <f>Q23</f>
        <v>Сметана в щи</v>
      </c>
      <c r="R57" s="1038" t="str">
        <f>R21</f>
        <v>Соус молочный для запек.</v>
      </c>
      <c r="S57" s="1041" t="str">
        <f>S21</f>
        <v>Тефтели из печени с рисом</v>
      </c>
      <c r="T57" s="1096"/>
      <c r="U57" s="1038" t="str">
        <f>U21</f>
        <v>Картофель в молоке</v>
      </c>
      <c r="V57" s="1038" t="str">
        <f>V21</f>
        <v>Кисель из концентрата</v>
      </c>
      <c r="W57" s="1041" t="str">
        <f>W21</f>
        <v>Хлеб ржано-пшеничный</v>
      </c>
      <c r="X57" s="1041" t="str">
        <f>X21</f>
        <v>Запеканка из твор.</v>
      </c>
      <c r="Y57" s="1132"/>
      <c r="Z57" s="1038" t="str">
        <f>Z21</f>
        <v>Соус молочный слад.</v>
      </c>
      <c r="AA57" s="988"/>
      <c r="AB57" s="1044" t="str">
        <f>AB21</f>
        <v>Молоко кип.</v>
      </c>
      <c r="AC57" s="1038" t="str">
        <f>AC21</f>
        <v>Хлеб йодирован. пшен.</v>
      </c>
      <c r="AD57" s="24"/>
      <c r="AE57" s="1019"/>
      <c r="AF57" s="7"/>
      <c r="AG57" s="228"/>
      <c r="AH57" s="7"/>
      <c r="AI57" s="7"/>
      <c r="AJ57" s="7"/>
      <c r="AK57" s="7"/>
    </row>
    <row r="58" spans="1:37" ht="10.5" customHeight="1">
      <c r="A58" s="1002"/>
      <c r="B58" s="5"/>
      <c r="C58" s="5" t="s">
        <v>10</v>
      </c>
      <c r="D58" s="1036"/>
      <c r="E58" s="1124"/>
      <c r="F58" s="1036"/>
      <c r="G58" s="1039"/>
      <c r="H58" s="983"/>
      <c r="I58" s="1042"/>
      <c r="J58" s="1039"/>
      <c r="K58" s="1042"/>
      <c r="L58" s="1042"/>
      <c r="M58" s="1042"/>
      <c r="N58" s="1042"/>
      <c r="O58" s="1079"/>
      <c r="P58" s="1136"/>
      <c r="Q58" s="1039"/>
      <c r="R58" s="1098"/>
      <c r="S58" s="1097"/>
      <c r="T58" s="1098"/>
      <c r="U58" s="1039"/>
      <c r="V58" s="1039"/>
      <c r="W58" s="1042"/>
      <c r="X58" s="1097"/>
      <c r="Y58" s="1133"/>
      <c r="Z58" s="1039"/>
      <c r="AA58" s="989"/>
      <c r="AB58" s="1045"/>
      <c r="AC58" s="1039"/>
      <c r="AD58" s="19" t="s">
        <v>6</v>
      </c>
      <c r="AE58" s="1001" t="s">
        <v>4</v>
      </c>
      <c r="AF58" s="7"/>
      <c r="AG58" s="228"/>
      <c r="AH58" s="7"/>
      <c r="AI58" s="7"/>
      <c r="AJ58" s="7"/>
      <c r="AK58" s="7"/>
    </row>
    <row r="59" spans="1:37" ht="7.5" customHeight="1">
      <c r="A59" s="1006"/>
      <c r="B59" s="4"/>
      <c r="C59" s="4"/>
      <c r="D59" s="1037"/>
      <c r="E59" s="1125"/>
      <c r="F59" s="1037"/>
      <c r="G59" s="1040"/>
      <c r="H59" s="984"/>
      <c r="I59" s="1043"/>
      <c r="J59" s="1040"/>
      <c r="K59" s="1043"/>
      <c r="L59" s="1043"/>
      <c r="M59" s="1043"/>
      <c r="N59" s="1043"/>
      <c r="O59" s="1080"/>
      <c r="P59" s="1137"/>
      <c r="Q59" s="1040"/>
      <c r="R59" s="1100"/>
      <c r="S59" s="1099"/>
      <c r="T59" s="1100"/>
      <c r="U59" s="1040"/>
      <c r="V59" s="1040"/>
      <c r="W59" s="1043"/>
      <c r="X59" s="1099"/>
      <c r="Y59" s="1134"/>
      <c r="Z59" s="1040"/>
      <c r="AA59" s="990"/>
      <c r="AB59" s="1046"/>
      <c r="AC59" s="1040"/>
      <c r="AD59" s="4" t="s">
        <v>7</v>
      </c>
      <c r="AE59" s="1000" t="s">
        <v>5</v>
      </c>
      <c r="AF59" s="7"/>
      <c r="AG59" s="228"/>
      <c r="AH59" s="7"/>
      <c r="AI59" s="7"/>
      <c r="AJ59" s="7"/>
      <c r="AK59" s="7"/>
    </row>
    <row r="60" spans="1:37" ht="11.25" customHeight="1" thickBot="1">
      <c r="A60" s="64">
        <v>1</v>
      </c>
      <c r="B60" s="1024">
        <v>2</v>
      </c>
      <c r="C60" s="72">
        <v>3</v>
      </c>
      <c r="D60" s="276">
        <v>4</v>
      </c>
      <c r="E60" s="72">
        <v>5</v>
      </c>
      <c r="F60" s="1008">
        <v>6</v>
      </c>
      <c r="G60" s="72">
        <v>7</v>
      </c>
      <c r="H60" s="87">
        <v>7</v>
      </c>
      <c r="I60" s="276">
        <v>8</v>
      </c>
      <c r="J60" s="95">
        <v>10</v>
      </c>
      <c r="K60" s="96">
        <v>11</v>
      </c>
      <c r="L60" s="96">
        <v>12</v>
      </c>
      <c r="M60" s="96">
        <v>13</v>
      </c>
      <c r="N60" s="81">
        <v>14</v>
      </c>
      <c r="O60" s="82">
        <v>15</v>
      </c>
      <c r="P60" s="328"/>
      <c r="Q60" s="80">
        <v>16</v>
      </c>
      <c r="R60" s="81">
        <v>17</v>
      </c>
      <c r="S60" s="276">
        <v>18</v>
      </c>
      <c r="T60" s="95">
        <v>19</v>
      </c>
      <c r="U60" s="80">
        <v>20</v>
      </c>
      <c r="V60" s="98">
        <v>21</v>
      </c>
      <c r="W60" s="98">
        <v>22</v>
      </c>
      <c r="X60" s="276">
        <v>23</v>
      </c>
      <c r="Y60" s="95">
        <v>24</v>
      </c>
      <c r="Z60" s="96">
        <v>25</v>
      </c>
      <c r="AA60" s="81">
        <v>25</v>
      </c>
      <c r="AB60" s="96">
        <v>26</v>
      </c>
      <c r="AC60" s="35">
        <v>27</v>
      </c>
      <c r="AD60" s="35">
        <v>28</v>
      </c>
      <c r="AE60" s="1008">
        <v>29</v>
      </c>
      <c r="AF60" s="7"/>
      <c r="AG60" s="228"/>
      <c r="AH60" s="7"/>
      <c r="AI60" s="7"/>
      <c r="AJ60" s="7"/>
      <c r="AK60" s="7"/>
    </row>
    <row r="61" spans="1:37" ht="15.75" customHeight="1" thickTop="1">
      <c r="A61" s="135"/>
      <c r="B61" s="13"/>
      <c r="C61" s="77" t="s">
        <v>72</v>
      </c>
      <c r="D61" s="297"/>
      <c r="E61" s="277"/>
      <c r="F61" s="109"/>
      <c r="G61" s="94"/>
      <c r="H61" s="458"/>
      <c r="I61" s="109"/>
      <c r="J61" s="94"/>
      <c r="K61" s="94"/>
      <c r="L61" s="94"/>
      <c r="M61" s="458"/>
      <c r="N61" s="625"/>
      <c r="O61" s="411">
        <v>37</v>
      </c>
      <c r="P61" s="910"/>
      <c r="Q61" s="442"/>
      <c r="R61" s="442"/>
      <c r="S61" s="109"/>
      <c r="T61" s="181"/>
      <c r="U61" s="130">
        <v>151</v>
      </c>
      <c r="V61" s="559"/>
      <c r="W61" s="94"/>
      <c r="X61" s="554"/>
      <c r="Y61" s="410"/>
      <c r="Z61" s="94"/>
      <c r="AA61" s="94"/>
      <c r="AB61" s="94"/>
      <c r="AC61" s="94"/>
      <c r="AD61" s="117"/>
      <c r="AE61" s="116"/>
      <c r="AF61" s="7"/>
      <c r="AG61" s="228"/>
      <c r="AH61" s="7"/>
      <c r="AI61" s="7"/>
      <c r="AJ61" s="7"/>
    </row>
    <row r="62" spans="1:37" ht="18" customHeight="1" thickBot="1">
      <c r="A62" s="346" t="s">
        <v>26</v>
      </c>
      <c r="B62" s="347">
        <v>28</v>
      </c>
      <c r="C62" s="348" t="s">
        <v>73</v>
      </c>
      <c r="D62" s="387"/>
      <c r="E62" s="353"/>
      <c r="F62" s="338"/>
      <c r="G62" s="337"/>
      <c r="H62" s="459"/>
      <c r="I62" s="338"/>
      <c r="J62" s="337"/>
      <c r="K62" s="337"/>
      <c r="L62" s="337"/>
      <c r="M62" s="459"/>
      <c r="N62" s="459"/>
      <c r="O62" s="376">
        <f>O61*B25/1000</f>
        <v>3.7</v>
      </c>
      <c r="P62" s="906"/>
      <c r="Q62" s="341"/>
      <c r="R62" s="341"/>
      <c r="S62" s="349"/>
      <c r="T62" s="340"/>
      <c r="U62" s="339">
        <f>ROUND(U61*B25/1000,2)</f>
        <v>15.1</v>
      </c>
      <c r="V62" s="350"/>
      <c r="W62" s="337"/>
      <c r="X62" s="370"/>
      <c r="Y62" s="350"/>
      <c r="Z62" s="337"/>
      <c r="AA62" s="337"/>
      <c r="AB62" s="337"/>
      <c r="AC62" s="337"/>
      <c r="AD62" s="399">
        <f>ROUND(E62+G62+H62+J62+K62+L62+O62+R62+T62+U62+V62+W62+Y62+Z62+AB62+AC62,2)</f>
        <v>18.8</v>
      </c>
      <c r="AE62" s="344">
        <f>AD62*B62</f>
        <v>526.4</v>
      </c>
      <c r="AF62" s="7"/>
      <c r="AG62" s="223">
        <f>AD62+AD162</f>
        <v>34.83</v>
      </c>
      <c r="AH62" s="7" t="str">
        <f>A62</f>
        <v>Картофель</v>
      </c>
      <c r="AI62" s="7"/>
      <c r="AJ62" s="7"/>
    </row>
    <row r="63" spans="1:37" ht="15" customHeight="1" thickTop="1">
      <c r="A63" s="133"/>
      <c r="B63" s="122"/>
      <c r="C63" s="77" t="s">
        <v>72</v>
      </c>
      <c r="D63" s="78"/>
      <c r="E63" s="268"/>
      <c r="F63" s="112"/>
      <c r="G63" s="106"/>
      <c r="H63" s="460"/>
      <c r="I63" s="112"/>
      <c r="J63" s="106"/>
      <c r="K63" s="106"/>
      <c r="L63" s="106"/>
      <c r="M63" s="106"/>
      <c r="N63" s="679">
        <v>64.599999999999994</v>
      </c>
      <c r="O63" s="316"/>
      <c r="P63" s="371"/>
      <c r="Q63" s="272"/>
      <c r="R63" s="443"/>
      <c r="S63" s="177"/>
      <c r="T63" s="251"/>
      <c r="U63" s="509"/>
      <c r="V63" s="464"/>
      <c r="W63" s="127"/>
      <c r="X63" s="371"/>
      <c r="Y63" s="272"/>
      <c r="Z63" s="127"/>
      <c r="AA63" s="127"/>
      <c r="AB63" s="106"/>
      <c r="AC63" s="106"/>
      <c r="AD63" s="426"/>
      <c r="AE63" s="123"/>
      <c r="AF63" s="7"/>
      <c r="AG63" s="224"/>
      <c r="AH63" s="7"/>
      <c r="AI63" s="7"/>
      <c r="AJ63" s="7"/>
    </row>
    <row r="64" spans="1:37" ht="18" customHeight="1" thickBot="1">
      <c r="A64" s="346" t="s">
        <v>87</v>
      </c>
      <c r="B64" s="347">
        <v>28</v>
      </c>
      <c r="C64" s="348" t="s">
        <v>73</v>
      </c>
      <c r="D64" s="387"/>
      <c r="E64" s="353"/>
      <c r="F64" s="338"/>
      <c r="G64" s="337"/>
      <c r="H64" s="459"/>
      <c r="I64" s="338"/>
      <c r="J64" s="337"/>
      <c r="K64" s="337"/>
      <c r="L64" s="337"/>
      <c r="M64" s="459"/>
      <c r="N64" s="376">
        <f>N63*B25/1000</f>
        <v>6.4599999999999991</v>
      </c>
      <c r="O64" s="352"/>
      <c r="P64" s="370"/>
      <c r="Q64" s="350"/>
      <c r="R64" s="350"/>
      <c r="S64" s="363"/>
      <c r="T64" s="358"/>
      <c r="U64" s="501"/>
      <c r="V64" s="369"/>
      <c r="W64" s="358"/>
      <c r="X64" s="370"/>
      <c r="Y64" s="350"/>
      <c r="Z64" s="339"/>
      <c r="AA64" s="339"/>
      <c r="AB64" s="337"/>
      <c r="AC64" s="337"/>
      <c r="AD64" s="399">
        <f>ROUND(E64+G64+H64+J64+K64+L64+N64+O64+R64+T64+U64+V64+W64+Y64+Z64+AB64+AC64,2)</f>
        <v>6.46</v>
      </c>
      <c r="AE64" s="344">
        <f>AD64*B64</f>
        <v>180.88</v>
      </c>
      <c r="AF64" s="7"/>
      <c r="AG64" s="223">
        <f>AD64+AD164</f>
        <v>10.34</v>
      </c>
      <c r="AH64" s="7" t="str">
        <f>A64</f>
        <v>Свекла стол.</v>
      </c>
      <c r="AI64" s="7"/>
      <c r="AJ64" s="7"/>
    </row>
    <row r="65" spans="1:37" ht="18" customHeight="1" thickTop="1">
      <c r="A65" s="133"/>
      <c r="B65" s="122"/>
      <c r="C65" s="77" t="s">
        <v>72</v>
      </c>
      <c r="D65" s="78"/>
      <c r="E65" s="268"/>
      <c r="F65" s="112"/>
      <c r="G65" s="106"/>
      <c r="H65" s="460"/>
      <c r="I65" s="112"/>
      <c r="J65" s="106"/>
      <c r="K65" s="106"/>
      <c r="L65" s="106"/>
      <c r="M65" s="460"/>
      <c r="N65" s="455"/>
      <c r="O65" s="274">
        <v>9.6</v>
      </c>
      <c r="P65" s="911"/>
      <c r="Q65" s="509"/>
      <c r="R65" s="827"/>
      <c r="S65" s="177">
        <f>15/70*S26</f>
        <v>15</v>
      </c>
      <c r="T65" s="256">
        <f>S65/S26*T26</f>
        <v>15</v>
      </c>
      <c r="U65" s="130"/>
      <c r="V65" s="559"/>
      <c r="W65" s="251"/>
      <c r="X65" s="371"/>
      <c r="Y65" s="499"/>
      <c r="Z65" s="106"/>
      <c r="AA65" s="106"/>
      <c r="AB65" s="106"/>
      <c r="AC65" s="106"/>
      <c r="AD65" s="263"/>
      <c r="AE65" s="124"/>
      <c r="AF65" s="7"/>
      <c r="AG65" s="224"/>
      <c r="AH65" s="7"/>
      <c r="AI65" s="7"/>
      <c r="AJ65" s="7"/>
      <c r="AK65" s="7"/>
    </row>
    <row r="66" spans="1:37" ht="18" customHeight="1" thickBot="1">
      <c r="A66" s="346" t="s">
        <v>27</v>
      </c>
      <c r="B66" s="347">
        <v>37</v>
      </c>
      <c r="C66" s="348" t="s">
        <v>73</v>
      </c>
      <c r="D66" s="387"/>
      <c r="E66" s="353"/>
      <c r="F66" s="338"/>
      <c r="G66" s="337"/>
      <c r="H66" s="459"/>
      <c r="I66" s="338"/>
      <c r="J66" s="337"/>
      <c r="K66" s="337"/>
      <c r="L66" s="337"/>
      <c r="M66" s="459"/>
      <c r="N66" s="614"/>
      <c r="O66" s="361">
        <f>O65*B25/1000</f>
        <v>0.96</v>
      </c>
      <c r="P66" s="906"/>
      <c r="Q66" s="501"/>
      <c r="R66" s="341"/>
      <c r="S66" s="349">
        <f>S65*F25/1000</f>
        <v>1.5</v>
      </c>
      <c r="T66" s="339">
        <f>S66</f>
        <v>1.5</v>
      </c>
      <c r="U66" s="340"/>
      <c r="V66" s="341"/>
      <c r="W66" s="358"/>
      <c r="X66" s="370"/>
      <c r="Y66" s="350"/>
      <c r="Z66" s="337"/>
      <c r="AA66" s="337"/>
      <c r="AB66" s="337"/>
      <c r="AC66" s="337"/>
      <c r="AD66" s="399">
        <f>ROUND(E66+G66+H66+J66+K66+L66+O66+R66+T66+U66+V66+W66+Y66+Z66+AB66+AC66,2)</f>
        <v>2.46</v>
      </c>
      <c r="AE66" s="368">
        <f>AD66*B66</f>
        <v>91.02</v>
      </c>
      <c r="AF66" s="7"/>
      <c r="AG66" s="223">
        <f>AD66+AD166</f>
        <v>4.62</v>
      </c>
      <c r="AH66" s="7" t="str">
        <f>A66</f>
        <v>Лук</v>
      </c>
      <c r="AI66" s="7"/>
      <c r="AJ66" s="7"/>
      <c r="AK66" s="7"/>
    </row>
    <row r="67" spans="1:37" ht="16.5" customHeight="1" thickTop="1">
      <c r="A67" s="133"/>
      <c r="B67" s="122"/>
      <c r="C67" s="77" t="s">
        <v>72</v>
      </c>
      <c r="D67" s="78"/>
      <c r="E67" s="268"/>
      <c r="F67" s="112"/>
      <c r="G67" s="106"/>
      <c r="H67" s="460"/>
      <c r="I67" s="112"/>
      <c r="J67" s="106"/>
      <c r="K67" s="106"/>
      <c r="L67" s="106"/>
      <c r="M67" s="460"/>
      <c r="N67" s="637"/>
      <c r="O67" s="412">
        <v>13.3</v>
      </c>
      <c r="P67" s="912"/>
      <c r="Q67" s="441"/>
      <c r="R67" s="441"/>
      <c r="S67" s="177"/>
      <c r="T67" s="129"/>
      <c r="U67" s="620"/>
      <c r="V67" s="129"/>
      <c r="W67" s="250"/>
      <c r="X67" s="371"/>
      <c r="Y67" s="272"/>
      <c r="Z67" s="127"/>
      <c r="AA67" s="127"/>
      <c r="AB67" s="106"/>
      <c r="AC67" s="106"/>
      <c r="AD67" s="263"/>
      <c r="AE67" s="123"/>
      <c r="AF67" s="7"/>
      <c r="AG67" s="224"/>
      <c r="AH67" s="7"/>
      <c r="AI67" s="7"/>
      <c r="AJ67" s="7"/>
      <c r="AK67" s="7"/>
    </row>
    <row r="68" spans="1:37" ht="18" customHeight="1" thickBot="1">
      <c r="A68" s="346" t="s">
        <v>28</v>
      </c>
      <c r="B68" s="347">
        <v>38</v>
      </c>
      <c r="C68" s="348" t="s">
        <v>73</v>
      </c>
      <c r="D68" s="387"/>
      <c r="E68" s="353"/>
      <c r="F68" s="338"/>
      <c r="G68" s="337"/>
      <c r="H68" s="459"/>
      <c r="I68" s="338"/>
      <c r="J68" s="337"/>
      <c r="K68" s="337"/>
      <c r="L68" s="337"/>
      <c r="M68" s="459"/>
      <c r="N68" s="360"/>
      <c r="O68" s="361">
        <f>O67*B25/1000</f>
        <v>1.33</v>
      </c>
      <c r="P68" s="906"/>
      <c r="Q68" s="341"/>
      <c r="R68" s="341"/>
      <c r="S68" s="349"/>
      <c r="T68" s="339"/>
      <c r="U68" s="350"/>
      <c r="V68" s="350"/>
      <c r="W68" s="358"/>
      <c r="X68" s="370"/>
      <c r="Y68" s="350"/>
      <c r="Z68" s="339"/>
      <c r="AA68" s="339"/>
      <c r="AB68" s="337"/>
      <c r="AC68" s="337"/>
      <c r="AD68" s="399">
        <f>ROUND(E68+G68+H68+J68+K68+L68+N68+O68+R68+T68+U68+V68+W68+Y68+Z68+AB68+AC68,2)</f>
        <v>1.33</v>
      </c>
      <c r="AE68" s="344">
        <f>AD68*B68</f>
        <v>50.540000000000006</v>
      </c>
      <c r="AF68" s="7"/>
      <c r="AG68" s="223">
        <f>AD68+AD168</f>
        <v>2.5300000000000002</v>
      </c>
      <c r="AH68" s="7" t="str">
        <f>A68</f>
        <v>Морковь</v>
      </c>
      <c r="AI68" s="7"/>
      <c r="AJ68" s="7"/>
      <c r="AK68" s="7"/>
    </row>
    <row r="69" spans="1:37" ht="13.5" customHeight="1" thickTop="1">
      <c r="A69" s="133"/>
      <c r="B69" s="122"/>
      <c r="C69" s="77" t="s">
        <v>72</v>
      </c>
      <c r="D69" s="78"/>
      <c r="E69" s="268"/>
      <c r="F69" s="112"/>
      <c r="G69" s="106"/>
      <c r="H69" s="460"/>
      <c r="I69" s="177"/>
      <c r="J69" s="114"/>
      <c r="K69" s="106"/>
      <c r="L69" s="106"/>
      <c r="M69" s="106"/>
      <c r="N69" s="106"/>
      <c r="O69" s="834">
        <v>50</v>
      </c>
      <c r="P69" s="904"/>
      <c r="Q69" s="268"/>
      <c r="R69" s="268"/>
      <c r="S69" s="177"/>
      <c r="T69" s="106"/>
      <c r="U69" s="509"/>
      <c r="V69" s="268"/>
      <c r="W69" s="106"/>
      <c r="X69" s="371"/>
      <c r="Y69" s="268"/>
      <c r="Z69" s="106"/>
      <c r="AA69" s="106"/>
      <c r="AB69" s="127"/>
      <c r="AC69" s="106"/>
      <c r="AD69" s="263"/>
      <c r="AE69" s="123"/>
      <c r="AF69" s="7"/>
      <c r="AG69" s="224"/>
      <c r="AH69" s="7"/>
      <c r="AI69" s="7"/>
      <c r="AJ69" s="7"/>
      <c r="AK69" s="7"/>
    </row>
    <row r="70" spans="1:37" ht="18" customHeight="1" thickBot="1">
      <c r="A70" s="346" t="s">
        <v>93</v>
      </c>
      <c r="B70" s="347">
        <v>30</v>
      </c>
      <c r="C70" s="348" t="s">
        <v>73</v>
      </c>
      <c r="D70" s="387"/>
      <c r="E70" s="353"/>
      <c r="F70" s="338"/>
      <c r="G70" s="337"/>
      <c r="H70" s="459"/>
      <c r="I70" s="349"/>
      <c r="J70" s="339"/>
      <c r="K70" s="337"/>
      <c r="L70" s="337"/>
      <c r="M70" s="337"/>
      <c r="N70" s="337"/>
      <c r="O70" s="361">
        <f>O69*B25/1000</f>
        <v>5</v>
      </c>
      <c r="P70" s="906"/>
      <c r="Q70" s="353"/>
      <c r="R70" s="353"/>
      <c r="S70" s="349"/>
      <c r="T70" s="337"/>
      <c r="U70" s="501"/>
      <c r="V70" s="353"/>
      <c r="W70" s="337"/>
      <c r="X70" s="370"/>
      <c r="Y70" s="353"/>
      <c r="Z70" s="337"/>
      <c r="AA70" s="337"/>
      <c r="AB70" s="340"/>
      <c r="AC70" s="337"/>
      <c r="AD70" s="399">
        <f>ROUND(E70+G70+H70+J70+K70+L70+O70+R70+T70+U70+V70+W70+Y70+Z70+AB70+AC70,2)</f>
        <v>5</v>
      </c>
      <c r="AE70" s="344">
        <f>AD70*B70</f>
        <v>150</v>
      </c>
      <c r="AF70" s="7"/>
      <c r="AG70" s="223">
        <f>AD70+AD170</f>
        <v>9.5</v>
      </c>
      <c r="AH70" s="7" t="str">
        <f>A70</f>
        <v>Капуста св. б/к</v>
      </c>
      <c r="AI70" s="7"/>
      <c r="AJ70" s="7"/>
      <c r="AK70" s="7"/>
    </row>
    <row r="71" spans="1:37" ht="14.25" customHeight="1" thickTop="1">
      <c r="A71" s="133"/>
      <c r="B71" s="122"/>
      <c r="C71" s="77" t="s">
        <v>72</v>
      </c>
      <c r="D71" s="108">
        <v>20</v>
      </c>
      <c r="E71" s="129">
        <f>D71/D26*E26</f>
        <v>20</v>
      </c>
      <c r="F71" s="112"/>
      <c r="G71" s="106"/>
      <c r="H71" s="460"/>
      <c r="I71" s="112"/>
      <c r="J71" s="106"/>
      <c r="K71" s="128">
        <f>K72/B25*1000</f>
        <v>20</v>
      </c>
      <c r="L71" s="106"/>
      <c r="M71" s="127"/>
      <c r="N71" s="106"/>
      <c r="O71" s="270"/>
      <c r="P71" s="371"/>
      <c r="Q71" s="268"/>
      <c r="R71" s="268"/>
      <c r="S71" s="177"/>
      <c r="T71" s="114"/>
      <c r="U71" s="509"/>
      <c r="V71" s="137"/>
      <c r="W71" s="106"/>
      <c r="X71" s="371"/>
      <c r="Y71" s="268"/>
      <c r="Z71" s="106"/>
      <c r="AA71" s="106"/>
      <c r="AB71" s="106"/>
      <c r="AC71" s="128"/>
      <c r="AD71" s="263"/>
      <c r="AE71" s="123"/>
      <c r="AF71" s="7"/>
      <c r="AG71" s="224"/>
      <c r="AH71" s="7"/>
      <c r="AI71" s="7"/>
      <c r="AJ71" s="7"/>
      <c r="AK71" s="7"/>
    </row>
    <row r="72" spans="1:37" ht="18" customHeight="1" thickBot="1">
      <c r="A72" s="346" t="s">
        <v>62</v>
      </c>
      <c r="B72" s="347">
        <v>81.099999999999994</v>
      </c>
      <c r="C72" s="348" t="s">
        <v>73</v>
      </c>
      <c r="D72" s="349">
        <f>D71*F25/1000</f>
        <v>2</v>
      </c>
      <c r="E72" s="341">
        <f>D72</f>
        <v>2</v>
      </c>
      <c r="F72" s="338"/>
      <c r="G72" s="337"/>
      <c r="H72" s="459"/>
      <c r="I72" s="338"/>
      <c r="J72" s="337"/>
      <c r="K72" s="339">
        <v>2</v>
      </c>
      <c r="L72" s="337"/>
      <c r="M72" s="337"/>
      <c r="N72" s="337"/>
      <c r="O72" s="352"/>
      <c r="P72" s="370"/>
      <c r="Q72" s="353"/>
      <c r="R72" s="353"/>
      <c r="S72" s="349"/>
      <c r="T72" s="342"/>
      <c r="U72" s="501"/>
      <c r="V72" s="354"/>
      <c r="W72" s="337"/>
      <c r="X72" s="370"/>
      <c r="Y72" s="353"/>
      <c r="Z72" s="337"/>
      <c r="AA72" s="337"/>
      <c r="AB72" s="337"/>
      <c r="AC72" s="342"/>
      <c r="AD72" s="399">
        <f>ROUND(E72+G72+H72+J72+K72+L72+O72+R72+T72+U72+V72+W72+Y72+Z72+AB72+AC72,2)</f>
        <v>4</v>
      </c>
      <c r="AE72" s="344">
        <f>AD72*B72</f>
        <v>324.39999999999998</v>
      </c>
      <c r="AF72" s="7"/>
      <c r="AG72" s="223">
        <f>AD72+AD172</f>
        <v>7</v>
      </c>
      <c r="AH72" s="7" t="str">
        <f>A72</f>
        <v>Батон витам.</v>
      </c>
      <c r="AI72" s="7"/>
      <c r="AJ72" s="7"/>
      <c r="AK72" s="7"/>
    </row>
    <row r="73" spans="1:37" ht="12.75" customHeight="1" thickTop="1">
      <c r="A73" s="133"/>
      <c r="B73" s="122"/>
      <c r="C73" s="77" t="s">
        <v>72</v>
      </c>
      <c r="D73" s="287"/>
      <c r="E73" s="268"/>
      <c r="F73" s="112"/>
      <c r="G73" s="106"/>
      <c r="H73" s="460"/>
      <c r="I73" s="112"/>
      <c r="J73" s="106"/>
      <c r="K73" s="106"/>
      <c r="L73" s="106"/>
      <c r="M73" s="106"/>
      <c r="N73" s="106"/>
      <c r="O73" s="270"/>
      <c r="P73" s="371"/>
      <c r="Q73" s="434"/>
      <c r="R73" s="268"/>
      <c r="S73" s="177"/>
      <c r="T73" s="106"/>
      <c r="U73" s="509"/>
      <c r="V73" s="272"/>
      <c r="W73" s="184">
        <f>W74/B25*1000</f>
        <v>40</v>
      </c>
      <c r="X73" s="432"/>
      <c r="Y73" s="268"/>
      <c r="Z73" s="106"/>
      <c r="AA73" s="106"/>
      <c r="AB73" s="106"/>
      <c r="AC73" s="106"/>
      <c r="AD73" s="263"/>
      <c r="AE73" s="123"/>
      <c r="AF73" s="7"/>
      <c r="AG73" s="224"/>
      <c r="AH73" s="7"/>
      <c r="AI73" s="7"/>
      <c r="AJ73" s="7"/>
      <c r="AK73" s="7"/>
    </row>
    <row r="74" spans="1:37" ht="18" customHeight="1" thickBot="1">
      <c r="A74" s="346" t="s">
        <v>82</v>
      </c>
      <c r="B74" s="347">
        <v>55</v>
      </c>
      <c r="C74" s="348" t="s">
        <v>73</v>
      </c>
      <c r="D74" s="385"/>
      <c r="E74" s="353"/>
      <c r="F74" s="338"/>
      <c r="G74" s="337"/>
      <c r="H74" s="459"/>
      <c r="I74" s="338"/>
      <c r="J74" s="337"/>
      <c r="K74" s="337"/>
      <c r="L74" s="337"/>
      <c r="M74" s="337"/>
      <c r="N74" s="337"/>
      <c r="O74" s="352"/>
      <c r="P74" s="370"/>
      <c r="Q74" s="353"/>
      <c r="R74" s="353"/>
      <c r="S74" s="349"/>
      <c r="T74" s="337"/>
      <c r="U74" s="501"/>
      <c r="V74" s="341"/>
      <c r="W74" s="341">
        <v>4</v>
      </c>
      <c r="X74" s="440"/>
      <c r="Y74" s="353"/>
      <c r="Z74" s="337"/>
      <c r="AA74" s="337"/>
      <c r="AB74" s="337"/>
      <c r="AC74" s="337"/>
      <c r="AD74" s="399">
        <f>ROUND(E74+G74+H74+J74+K74+L74+O74+R74+T74+U74+V74+W74+Y74+Z74+AB74+AC74,2)</f>
        <v>4</v>
      </c>
      <c r="AE74" s="344">
        <f>AD74*B74</f>
        <v>220</v>
      </c>
      <c r="AF74" s="7"/>
      <c r="AG74" s="226">
        <f>AD74+AD174</f>
        <v>7</v>
      </c>
      <c r="AH74" s="7" t="str">
        <f>A74</f>
        <v>Хлеб рж-пшен.</v>
      </c>
      <c r="AI74" s="7"/>
      <c r="AJ74" s="7"/>
      <c r="AK74" s="7"/>
    </row>
    <row r="75" spans="1:37" ht="15" customHeight="1" thickTop="1">
      <c r="A75" s="133"/>
      <c r="B75" s="122"/>
      <c r="C75" s="77" t="s">
        <v>72</v>
      </c>
      <c r="D75" s="287"/>
      <c r="E75" s="268"/>
      <c r="F75" s="112"/>
      <c r="G75" s="106"/>
      <c r="H75" s="460"/>
      <c r="I75" s="112"/>
      <c r="J75" s="106"/>
      <c r="K75" s="106"/>
      <c r="L75" s="106"/>
      <c r="M75" s="106"/>
      <c r="N75" s="106"/>
      <c r="O75" s="270"/>
      <c r="P75" s="371"/>
      <c r="Q75" s="268"/>
      <c r="R75" s="268"/>
      <c r="S75" s="177"/>
      <c r="T75" s="106"/>
      <c r="U75" s="509"/>
      <c r="V75" s="268"/>
      <c r="W75" s="106"/>
      <c r="X75" s="371"/>
      <c r="Y75" s="268"/>
      <c r="Z75" s="106"/>
      <c r="AA75" s="106"/>
      <c r="AB75" s="106"/>
      <c r="AC75" s="128">
        <f>AC76/AC25*1000</f>
        <v>20</v>
      </c>
      <c r="AD75" s="263"/>
      <c r="AE75" s="123"/>
      <c r="AF75" s="7"/>
      <c r="AG75" s="228"/>
      <c r="AH75" s="7"/>
      <c r="AI75" s="7"/>
      <c r="AJ75" s="7"/>
      <c r="AK75" s="7"/>
    </row>
    <row r="76" spans="1:37" ht="18" customHeight="1" thickBot="1">
      <c r="A76" s="346" t="s">
        <v>84</v>
      </c>
      <c r="B76" s="347">
        <v>61.3</v>
      </c>
      <c r="C76" s="348" t="s">
        <v>73</v>
      </c>
      <c r="D76" s="385"/>
      <c r="E76" s="353"/>
      <c r="F76" s="338"/>
      <c r="G76" s="337"/>
      <c r="H76" s="459"/>
      <c r="I76" s="338"/>
      <c r="J76" s="337"/>
      <c r="K76" s="337"/>
      <c r="L76" s="337"/>
      <c r="M76" s="337"/>
      <c r="N76" s="337"/>
      <c r="O76" s="352"/>
      <c r="P76" s="370"/>
      <c r="Q76" s="353"/>
      <c r="R76" s="353"/>
      <c r="S76" s="349"/>
      <c r="T76" s="337"/>
      <c r="U76" s="501"/>
      <c r="V76" s="353"/>
      <c r="W76" s="337"/>
      <c r="X76" s="370"/>
      <c r="Y76" s="353"/>
      <c r="Z76" s="337"/>
      <c r="AA76" s="337"/>
      <c r="AB76" s="337"/>
      <c r="AC76" s="339">
        <v>2</v>
      </c>
      <c r="AD76" s="399">
        <f>ROUND(E76+G76+H76+J76+K76+L76+O76+R76+T76+U76+V76+W76+Y76+Z76+AB76+AC76,2)</f>
        <v>2</v>
      </c>
      <c r="AE76" s="344">
        <f>AD76*B76</f>
        <v>122.6</v>
      </c>
      <c r="AF76" s="7"/>
      <c r="AG76" s="223">
        <f>AD76+AD176</f>
        <v>3</v>
      </c>
      <c r="AH76" s="7" t="str">
        <f>A76</f>
        <v xml:space="preserve">Хлеб  йод. пш. </v>
      </c>
      <c r="AI76" s="7"/>
      <c r="AJ76" s="7"/>
      <c r="AK76" s="7"/>
    </row>
    <row r="77" spans="1:37" ht="18" customHeight="1" thickTop="1">
      <c r="A77" s="133"/>
      <c r="B77" s="122"/>
      <c r="C77" s="77" t="s">
        <v>72</v>
      </c>
      <c r="D77" s="287"/>
      <c r="E77" s="268"/>
      <c r="F77" s="112"/>
      <c r="G77" s="106"/>
      <c r="H77" s="460"/>
      <c r="I77" s="112">
        <v>0.5</v>
      </c>
      <c r="J77" s="128">
        <f>I77/I26*J26</f>
        <v>0.49999999999999994</v>
      </c>
      <c r="K77" s="106"/>
      <c r="L77" s="106"/>
      <c r="M77" s="106"/>
      <c r="N77" s="106"/>
      <c r="O77" s="270"/>
      <c r="P77" s="371"/>
      <c r="Q77" s="268"/>
      <c r="R77" s="268"/>
      <c r="S77" s="177"/>
      <c r="T77" s="106"/>
      <c r="U77" s="509"/>
      <c r="V77" s="268"/>
      <c r="W77" s="106"/>
      <c r="X77" s="371"/>
      <c r="Y77" s="268"/>
      <c r="Z77" s="106"/>
      <c r="AA77" s="106"/>
      <c r="AB77" s="127"/>
      <c r="AC77" s="106"/>
      <c r="AD77" s="263"/>
      <c r="AE77" s="123"/>
      <c r="AF77" s="7"/>
      <c r="AG77" s="224"/>
      <c r="AH77" s="7"/>
      <c r="AI77" s="7"/>
      <c r="AJ77" s="7"/>
      <c r="AK77" s="7"/>
    </row>
    <row r="78" spans="1:37" ht="18" customHeight="1" thickBot="1">
      <c r="A78" s="346" t="s">
        <v>29</v>
      </c>
      <c r="B78" s="347">
        <v>500</v>
      </c>
      <c r="C78" s="348" t="s">
        <v>73</v>
      </c>
      <c r="D78" s="385"/>
      <c r="E78" s="353"/>
      <c r="F78" s="338"/>
      <c r="G78" s="337"/>
      <c r="H78" s="459"/>
      <c r="I78" s="377">
        <f>I77*F25/1000</f>
        <v>0.05</v>
      </c>
      <c r="J78" s="814">
        <f>I78</f>
        <v>0.05</v>
      </c>
      <c r="K78" s="337"/>
      <c r="L78" s="337"/>
      <c r="M78" s="337"/>
      <c r="N78" s="337"/>
      <c r="O78" s="352"/>
      <c r="P78" s="370"/>
      <c r="Q78" s="353"/>
      <c r="R78" s="353"/>
      <c r="S78" s="349"/>
      <c r="T78" s="337"/>
      <c r="U78" s="501"/>
      <c r="V78" s="353"/>
      <c r="W78" s="337"/>
      <c r="X78" s="370"/>
      <c r="Y78" s="353"/>
      <c r="Z78" s="337"/>
      <c r="AA78" s="337"/>
      <c r="AB78" s="355"/>
      <c r="AC78" s="337"/>
      <c r="AD78" s="400">
        <f>ROUND(E78+G78+H78+J78+K78+L78+O78+R78+T78+U78+V78+W78+Y78+Z78+AB78+AC78,3)</f>
        <v>0.05</v>
      </c>
      <c r="AE78" s="344">
        <f>AD78*B78</f>
        <v>25</v>
      </c>
      <c r="AF78" s="7"/>
      <c r="AG78" s="225">
        <f>AD78+AD178</f>
        <v>0.08</v>
      </c>
      <c r="AH78" s="7" t="str">
        <f>A78</f>
        <v>Чай</v>
      </c>
      <c r="AI78" s="7"/>
      <c r="AJ78" s="7"/>
      <c r="AK78" s="7"/>
    </row>
    <row r="79" spans="1:37" ht="14.25" customHeight="1" thickTop="1">
      <c r="A79" s="133"/>
      <c r="B79" s="122"/>
      <c r="C79" s="77" t="s">
        <v>72</v>
      </c>
      <c r="D79" s="287"/>
      <c r="E79" s="268"/>
      <c r="F79" s="112"/>
      <c r="G79" s="106"/>
      <c r="H79" s="460"/>
      <c r="I79" s="112"/>
      <c r="J79" s="128"/>
      <c r="K79" s="106"/>
      <c r="L79" s="106"/>
      <c r="M79" s="106"/>
      <c r="N79" s="106"/>
      <c r="O79" s="270"/>
      <c r="P79" s="371">
        <f>P80/B25*1000</f>
        <v>17.7</v>
      </c>
      <c r="Q79" s="268"/>
      <c r="R79" s="434"/>
      <c r="S79" s="177"/>
      <c r="T79" s="114"/>
      <c r="U79" s="509"/>
      <c r="V79" s="137"/>
      <c r="W79" s="106"/>
      <c r="X79" s="371"/>
      <c r="Y79" s="268"/>
      <c r="Z79" s="106"/>
      <c r="AA79" s="106"/>
      <c r="AB79" s="127"/>
      <c r="AC79" s="106"/>
      <c r="AD79" s="263"/>
      <c r="AE79" s="123"/>
      <c r="AF79" s="7"/>
      <c r="AG79" s="224"/>
      <c r="AH79" s="7"/>
      <c r="AI79" s="7"/>
      <c r="AJ79" s="7"/>
      <c r="AK79" s="7"/>
    </row>
    <row r="80" spans="1:37" ht="18" customHeight="1" thickBot="1">
      <c r="A80" s="346" t="s">
        <v>213</v>
      </c>
      <c r="B80" s="347">
        <v>470.6</v>
      </c>
      <c r="C80" s="348" t="s">
        <v>73</v>
      </c>
      <c r="D80" s="385"/>
      <c r="E80" s="353"/>
      <c r="F80" s="338"/>
      <c r="G80" s="337"/>
      <c r="H80" s="459"/>
      <c r="I80" s="338"/>
      <c r="J80" s="342"/>
      <c r="K80" s="337"/>
      <c r="L80" s="337"/>
      <c r="M80" s="337"/>
      <c r="N80" s="337"/>
      <c r="O80" s="352"/>
      <c r="P80" s="343">
        <v>1.77</v>
      </c>
      <c r="Q80" s="353"/>
      <c r="R80" s="445"/>
      <c r="S80" s="349"/>
      <c r="T80" s="339"/>
      <c r="U80" s="501"/>
      <c r="V80" s="341"/>
      <c r="W80" s="337"/>
      <c r="X80" s="370"/>
      <c r="Y80" s="353"/>
      <c r="Z80" s="337"/>
      <c r="AA80" s="337"/>
      <c r="AB80" s="357"/>
      <c r="AC80" s="337"/>
      <c r="AD80" s="343">
        <f>ROUND(E80+G80+H80+J80+K80+L80+O80+P80+Q80+R80+T80+V80+W80+X80+Y80+Z80+AB80+AC80,2)</f>
        <v>1.77</v>
      </c>
      <c r="AE80" s="344">
        <f>AD80*B80</f>
        <v>832.9620000000001</v>
      </c>
      <c r="AF80" s="7"/>
      <c r="AG80" s="223">
        <f>AD80+AD180</f>
        <v>1.77</v>
      </c>
      <c r="AH80" s="7" t="str">
        <f>A80</f>
        <v>Мясо гов.</v>
      </c>
      <c r="AI80" s="7"/>
      <c r="AJ80" s="7"/>
      <c r="AK80" s="7"/>
    </row>
    <row r="81" spans="1:37" ht="14.25" customHeight="1" thickTop="1">
      <c r="A81" s="133"/>
      <c r="B81" s="122"/>
      <c r="C81" s="77" t="s">
        <v>72</v>
      </c>
      <c r="D81" s="287"/>
      <c r="E81" s="268"/>
      <c r="F81" s="112"/>
      <c r="G81" s="106"/>
      <c r="H81" s="460"/>
      <c r="I81" s="112"/>
      <c r="J81" s="106"/>
      <c r="K81" s="106"/>
      <c r="L81" s="114"/>
      <c r="M81" s="114"/>
      <c r="N81" s="128"/>
      <c r="O81" s="270"/>
      <c r="P81" s="371"/>
      <c r="Q81" s="268"/>
      <c r="R81" s="268"/>
      <c r="S81" s="836"/>
      <c r="T81" s="413"/>
      <c r="U81" s="509"/>
      <c r="V81" s="127">
        <v>0.18</v>
      </c>
      <c r="W81" s="127"/>
      <c r="X81" s="371"/>
      <c r="Y81" s="272"/>
      <c r="Z81" s="127"/>
      <c r="AA81" s="127"/>
      <c r="AB81" s="127"/>
      <c r="AC81" s="106"/>
      <c r="AD81" s="263"/>
      <c r="AE81" s="123"/>
      <c r="AF81" s="7"/>
      <c r="AG81" s="224"/>
      <c r="AH81" s="7"/>
      <c r="AI81" s="7"/>
      <c r="AJ81" s="7"/>
      <c r="AK81" s="7"/>
    </row>
    <row r="82" spans="1:37" ht="18" customHeight="1" thickBot="1">
      <c r="A82" s="346" t="s">
        <v>136</v>
      </c>
      <c r="B82" s="347">
        <v>900</v>
      </c>
      <c r="C82" s="348" t="s">
        <v>73</v>
      </c>
      <c r="D82" s="385"/>
      <c r="E82" s="353"/>
      <c r="F82" s="338"/>
      <c r="G82" s="337"/>
      <c r="H82" s="459"/>
      <c r="I82" s="338"/>
      <c r="J82" s="337"/>
      <c r="K82" s="337"/>
      <c r="L82" s="342"/>
      <c r="M82" s="589"/>
      <c r="N82" s="357"/>
      <c r="O82" s="352"/>
      <c r="P82" s="370"/>
      <c r="Q82" s="353"/>
      <c r="R82" s="353"/>
      <c r="S82" s="363"/>
      <c r="T82" s="337"/>
      <c r="U82" s="501"/>
      <c r="V82" s="600">
        <f>V81*B25/1000</f>
        <v>1.7999999999999999E-2</v>
      </c>
      <c r="W82" s="355"/>
      <c r="X82" s="370"/>
      <c r="Y82" s="367"/>
      <c r="Z82" s="357"/>
      <c r="AA82" s="357"/>
      <c r="AB82" s="357"/>
      <c r="AC82" s="337"/>
      <c r="AD82" s="400">
        <f>ROUND(E82+G82+H82+J82+K82+L82+M82+N82+O82+Q82+R82+T82+V82+W82+X82+Y82+Z82+AB82+AC82,3)</f>
        <v>1.7999999999999999E-2</v>
      </c>
      <c r="AE82" s="344">
        <f>AD82*B82</f>
        <v>16.2</v>
      </c>
      <c r="AF82" s="7"/>
      <c r="AG82" s="225">
        <f>AD82+AD182</f>
        <v>3.3000000000000002E-2</v>
      </c>
      <c r="AH82" s="7" t="str">
        <f>A82</f>
        <v>Кислота лим.</v>
      </c>
      <c r="AI82" s="7"/>
      <c r="AJ82" s="7"/>
      <c r="AK82" s="7"/>
    </row>
    <row r="83" spans="1:37" ht="15.75" customHeight="1" thickTop="1">
      <c r="A83" s="133"/>
      <c r="B83" s="122"/>
      <c r="C83" s="77" t="s">
        <v>72</v>
      </c>
      <c r="D83" s="305"/>
      <c r="E83" s="268"/>
      <c r="F83" s="112"/>
      <c r="G83" s="106"/>
      <c r="H83" s="460"/>
      <c r="I83" s="112"/>
      <c r="J83" s="106"/>
      <c r="K83" s="106"/>
      <c r="L83" s="106"/>
      <c r="M83" s="460"/>
      <c r="N83" s="455"/>
      <c r="O83" s="412">
        <v>0.8</v>
      </c>
      <c r="P83" s="912"/>
      <c r="Q83" s="272"/>
      <c r="R83" s="272"/>
      <c r="S83" s="177"/>
      <c r="T83" s="256"/>
      <c r="U83" s="509"/>
      <c r="V83" s="129"/>
      <c r="W83" s="106"/>
      <c r="X83" s="371"/>
      <c r="Y83" s="272"/>
      <c r="Z83" s="106"/>
      <c r="AA83" s="106"/>
      <c r="AB83" s="106"/>
      <c r="AC83" s="106"/>
      <c r="AD83" s="263"/>
      <c r="AE83" s="123"/>
      <c r="AF83" s="7"/>
      <c r="AG83" s="224"/>
      <c r="AH83" s="7"/>
      <c r="AI83" s="7"/>
      <c r="AJ83" s="7"/>
      <c r="AK83" s="7"/>
    </row>
    <row r="84" spans="1:37" ht="18" customHeight="1" thickBot="1">
      <c r="A84" s="346" t="s">
        <v>97</v>
      </c>
      <c r="B84" s="347">
        <v>370</v>
      </c>
      <c r="C84" s="348" t="s">
        <v>73</v>
      </c>
      <c r="D84" s="385"/>
      <c r="E84" s="353"/>
      <c r="F84" s="338"/>
      <c r="G84" s="337"/>
      <c r="H84" s="459"/>
      <c r="I84" s="338"/>
      <c r="J84" s="337"/>
      <c r="K84" s="337"/>
      <c r="L84" s="337"/>
      <c r="M84" s="459"/>
      <c r="N84" s="614"/>
      <c r="O84" s="361">
        <f>O83*B25/1000</f>
        <v>0.08</v>
      </c>
      <c r="P84" s="906"/>
      <c r="Q84" s="341"/>
      <c r="R84" s="350"/>
      <c r="S84" s="349"/>
      <c r="T84" s="340"/>
      <c r="U84" s="501"/>
      <c r="V84" s="341"/>
      <c r="W84" s="337"/>
      <c r="X84" s="370"/>
      <c r="Y84" s="350"/>
      <c r="Z84" s="337"/>
      <c r="AA84" s="337"/>
      <c r="AB84" s="337"/>
      <c r="AC84" s="337"/>
      <c r="AD84" s="399">
        <f>ROUND(E84+G84+H84+J84+K84+L84+O84+R84+T84+U84+V84+W84+Y84+Z84+AB84+AC84,2)</f>
        <v>0.08</v>
      </c>
      <c r="AE84" s="344">
        <f>AD84*B84</f>
        <v>29.6</v>
      </c>
      <c r="AF84" s="7"/>
      <c r="AG84" s="223">
        <f>AD84+AD184</f>
        <v>0.08</v>
      </c>
      <c r="AH84" s="7" t="str">
        <f>A84</f>
        <v>Паста том.</v>
      </c>
      <c r="AI84" s="7"/>
      <c r="AJ84" s="7"/>
      <c r="AK84" s="7"/>
    </row>
    <row r="85" spans="1:37" ht="16.5" customHeight="1" thickTop="1">
      <c r="A85" s="133"/>
      <c r="B85" s="122"/>
      <c r="C85" s="77" t="s">
        <v>72</v>
      </c>
      <c r="D85" s="287"/>
      <c r="E85" s="271"/>
      <c r="F85" s="112"/>
      <c r="G85" s="105"/>
      <c r="H85" s="461"/>
      <c r="I85" s="112"/>
      <c r="J85" s="105"/>
      <c r="K85" s="105"/>
      <c r="L85" s="105"/>
      <c r="M85" s="105"/>
      <c r="N85" s="127"/>
      <c r="O85" s="273"/>
      <c r="P85" s="913"/>
      <c r="Q85" s="272"/>
      <c r="R85" s="131">
        <v>1.7</v>
      </c>
      <c r="S85" s="177"/>
      <c r="T85" s="256">
        <f>S85/S26*T26</f>
        <v>0</v>
      </c>
      <c r="U85" s="131">
        <v>1.3</v>
      </c>
      <c r="V85" s="184"/>
      <c r="W85" s="127"/>
      <c r="X85" s="177">
        <f>3.2/80*X26</f>
        <v>3.2</v>
      </c>
      <c r="Y85" s="256">
        <f>X85/X26*Y26</f>
        <v>3.2</v>
      </c>
      <c r="Z85" s="131">
        <v>0.9</v>
      </c>
      <c r="AA85" s="127"/>
      <c r="AB85" s="105"/>
      <c r="AC85" s="105"/>
      <c r="AD85" s="263"/>
      <c r="AE85" s="123"/>
      <c r="AF85" s="7"/>
      <c r="AG85" s="224"/>
      <c r="AH85" s="7"/>
      <c r="AI85" s="7"/>
      <c r="AJ85" s="7"/>
      <c r="AK85" s="7"/>
    </row>
    <row r="86" spans="1:37" ht="18" customHeight="1" thickBot="1">
      <c r="A86" s="346" t="s">
        <v>76</v>
      </c>
      <c r="B86" s="347">
        <v>29.08</v>
      </c>
      <c r="C86" s="348" t="s">
        <v>73</v>
      </c>
      <c r="D86" s="385"/>
      <c r="E86" s="353"/>
      <c r="F86" s="338"/>
      <c r="G86" s="337"/>
      <c r="H86" s="459"/>
      <c r="I86" s="338"/>
      <c r="J86" s="337"/>
      <c r="K86" s="337"/>
      <c r="L86" s="337"/>
      <c r="M86" s="337"/>
      <c r="N86" s="342"/>
      <c r="O86" s="352"/>
      <c r="P86" s="370"/>
      <c r="Q86" s="353"/>
      <c r="R86" s="341">
        <f>R85*B25/1000</f>
        <v>0.17</v>
      </c>
      <c r="S86" s="349">
        <f>S85*F25/1000</f>
        <v>0</v>
      </c>
      <c r="T86" s="339">
        <f>S86</f>
        <v>0</v>
      </c>
      <c r="U86" s="341">
        <f>U85*B25/1000</f>
        <v>0.13</v>
      </c>
      <c r="V86" s="341"/>
      <c r="W86" s="339"/>
      <c r="X86" s="349">
        <f>X85*F25/1000</f>
        <v>0.32</v>
      </c>
      <c r="Y86" s="339">
        <f>ROUND(X86,2)</f>
        <v>0.32</v>
      </c>
      <c r="Z86" s="341">
        <f>Z85*Z25/1000</f>
        <v>0.09</v>
      </c>
      <c r="AA86" s="339"/>
      <c r="AB86" s="337"/>
      <c r="AC86" s="337"/>
      <c r="AD86" s="399">
        <f>ROUND(E86+G86+H86+J86+K86+L86+N86+O86+R86+T86+U86+V86+W86+Y86+Z86+AB86+AC86,2)</f>
        <v>0.71</v>
      </c>
      <c r="AE86" s="344">
        <f>AD86*B86</f>
        <v>20.646799999999999</v>
      </c>
      <c r="AF86" s="7"/>
      <c r="AG86" s="223">
        <f>AD86+AD186</f>
        <v>1.4</v>
      </c>
      <c r="AH86" s="7" t="str">
        <f>A86</f>
        <v>Мука пшен.</v>
      </c>
      <c r="AI86" s="7"/>
      <c r="AJ86" s="8"/>
      <c r="AK86" s="7"/>
    </row>
    <row r="87" spans="1:37" ht="15.75" customHeight="1" thickTop="1">
      <c r="A87" s="133"/>
      <c r="B87" s="122"/>
      <c r="C87" s="77" t="s">
        <v>72</v>
      </c>
      <c r="D87" s="287"/>
      <c r="E87" s="268"/>
      <c r="F87" s="90">
        <v>2.1</v>
      </c>
      <c r="G87" s="129">
        <f>F87/F26*G26</f>
        <v>2.1</v>
      </c>
      <c r="H87" s="457"/>
      <c r="I87" s="112"/>
      <c r="J87" s="106"/>
      <c r="K87" s="106"/>
      <c r="L87" s="106"/>
      <c r="M87" s="106"/>
      <c r="N87" s="106"/>
      <c r="O87" s="270"/>
      <c r="P87" s="371"/>
      <c r="Q87" s="268"/>
      <c r="R87" s="184"/>
      <c r="S87" s="177"/>
      <c r="T87" s="106"/>
      <c r="U87" s="620"/>
      <c r="V87" s="268"/>
      <c r="W87" s="106"/>
      <c r="X87" s="371"/>
      <c r="Y87" s="272"/>
      <c r="Z87" s="106"/>
      <c r="AA87" s="106"/>
      <c r="AB87" s="106"/>
      <c r="AC87" s="106"/>
      <c r="AD87" s="263"/>
      <c r="AE87" s="123"/>
      <c r="AF87" s="7"/>
      <c r="AG87" s="224"/>
      <c r="AH87" s="7"/>
      <c r="AI87" s="7"/>
      <c r="AJ87" s="8"/>
      <c r="AK87" s="7"/>
    </row>
    <row r="88" spans="1:37" ht="18" customHeight="1" thickBot="1">
      <c r="A88" s="346" t="s">
        <v>303</v>
      </c>
      <c r="B88" s="347">
        <v>292</v>
      </c>
      <c r="C88" s="348" t="s">
        <v>73</v>
      </c>
      <c r="D88" s="385"/>
      <c r="E88" s="353"/>
      <c r="F88" s="363">
        <f>F87*F25/1000</f>
        <v>0.21</v>
      </c>
      <c r="G88" s="341">
        <f>F88</f>
        <v>0.21</v>
      </c>
      <c r="H88" s="372"/>
      <c r="I88" s="338"/>
      <c r="J88" s="337"/>
      <c r="K88" s="337"/>
      <c r="L88" s="337"/>
      <c r="M88" s="459"/>
      <c r="N88" s="353"/>
      <c r="O88" s="345"/>
      <c r="P88" s="370"/>
      <c r="Q88" s="353"/>
      <c r="R88" s="341"/>
      <c r="S88" s="349"/>
      <c r="T88" s="337"/>
      <c r="U88" s="420"/>
      <c r="V88" s="353"/>
      <c r="W88" s="337"/>
      <c r="X88" s="370"/>
      <c r="Y88" s="553"/>
      <c r="Z88" s="337"/>
      <c r="AA88" s="337"/>
      <c r="AB88" s="337"/>
      <c r="AC88" s="337"/>
      <c r="AD88" s="399">
        <f>ROUND(E88+G88+H88+J88+K88+L88+O88+R88+T88+U88+V88+W88+Y88+Z88+AB88+AC88,2)</f>
        <v>0.21</v>
      </c>
      <c r="AE88" s="344">
        <f>AD88*B88</f>
        <v>61.32</v>
      </c>
      <c r="AF88" s="7"/>
      <c r="AG88" s="223">
        <f>AD88+AD188</f>
        <v>0.42</v>
      </c>
      <c r="AH88" s="7" t="str">
        <f>A88</f>
        <v>Изюм.</v>
      </c>
      <c r="AI88" s="7"/>
      <c r="AJ88" s="7"/>
      <c r="AK88" s="7"/>
    </row>
    <row r="89" spans="1:37" ht="15.75" customHeight="1" thickTop="1">
      <c r="A89" s="133"/>
      <c r="B89" s="122"/>
      <c r="C89" s="77" t="s">
        <v>72</v>
      </c>
      <c r="D89" s="287"/>
      <c r="E89" s="268"/>
      <c r="F89" s="112">
        <v>0.6</v>
      </c>
      <c r="G89" s="128">
        <f>G90/B25*1000</f>
        <v>0.6</v>
      </c>
      <c r="H89" s="462"/>
      <c r="I89" s="112"/>
      <c r="J89" s="106"/>
      <c r="K89" s="106"/>
      <c r="L89" s="106"/>
      <c r="M89" s="460"/>
      <c r="N89" s="274">
        <v>0.1</v>
      </c>
      <c r="O89" s="274">
        <v>0.5</v>
      </c>
      <c r="P89" s="911"/>
      <c r="Q89" s="509"/>
      <c r="R89" s="839">
        <v>0.2</v>
      </c>
      <c r="S89" s="177">
        <v>0.7</v>
      </c>
      <c r="T89" s="181">
        <f>S89/S26*T26</f>
        <v>0.70000000000000007</v>
      </c>
      <c r="U89" s="403">
        <v>1.5</v>
      </c>
      <c r="V89" s="184"/>
      <c r="W89" s="106"/>
      <c r="X89" s="177">
        <v>0.2</v>
      </c>
      <c r="Y89" s="128">
        <f>Y90/T25*1000</f>
        <v>0.2</v>
      </c>
      <c r="Z89" s="559"/>
      <c r="AA89" s="106"/>
      <c r="AB89" s="106"/>
      <c r="AC89" s="106"/>
      <c r="AD89" s="263"/>
      <c r="AE89" s="123"/>
      <c r="AF89" s="7"/>
      <c r="AG89" s="224"/>
      <c r="AH89" s="7"/>
      <c r="AI89" s="7"/>
      <c r="AJ89" s="7"/>
      <c r="AK89" s="7"/>
    </row>
    <row r="90" spans="1:37" ht="18" customHeight="1" thickBot="1">
      <c r="A90" s="346" t="s">
        <v>138</v>
      </c>
      <c r="B90" s="347">
        <v>28</v>
      </c>
      <c r="C90" s="348" t="s">
        <v>73</v>
      </c>
      <c r="D90" s="385"/>
      <c r="E90" s="353"/>
      <c r="F90" s="338">
        <f>F89*F25/1000</f>
        <v>0.06</v>
      </c>
      <c r="G90" s="339">
        <f>F90</f>
        <v>0.06</v>
      </c>
      <c r="H90" s="372"/>
      <c r="I90" s="338"/>
      <c r="J90" s="337"/>
      <c r="K90" s="337"/>
      <c r="L90" s="337"/>
      <c r="M90" s="459"/>
      <c r="N90" s="361">
        <f>N89*B25/1000</f>
        <v>0.01</v>
      </c>
      <c r="O90" s="361">
        <f>O89*B25/1000</f>
        <v>0.05</v>
      </c>
      <c r="P90" s="906"/>
      <c r="Q90" s="501"/>
      <c r="R90" s="372">
        <f>R89*B25/1000</f>
        <v>0.02</v>
      </c>
      <c r="S90" s="349">
        <f>S89*S25/1000</f>
        <v>7.0000000000000007E-2</v>
      </c>
      <c r="T90" s="339">
        <f>S90</f>
        <v>7.0000000000000007E-2</v>
      </c>
      <c r="U90" s="372">
        <f>U89*G25/1000</f>
        <v>0.15</v>
      </c>
      <c r="V90" s="341"/>
      <c r="W90" s="337"/>
      <c r="X90" s="338">
        <f>X89*X25/1000</f>
        <v>0.02</v>
      </c>
      <c r="Y90" s="339">
        <f>X90</f>
        <v>0.02</v>
      </c>
      <c r="Z90" s="361"/>
      <c r="AA90" s="337"/>
      <c r="AB90" s="337"/>
      <c r="AC90" s="337"/>
      <c r="AD90" s="399">
        <f>ROUND(E90+G90+H90+J90+K90+L90+N90+O90+R90+T90+U90+V90+W90+Y90+Z90+AB90+AC90,2)</f>
        <v>0.38</v>
      </c>
      <c r="AE90" s="344">
        <f>AD90*B90</f>
        <v>10.64</v>
      </c>
      <c r="AF90" s="7"/>
      <c r="AG90" s="223">
        <f>AD90+AD190</f>
        <v>0.7</v>
      </c>
      <c r="AH90" s="7" t="str">
        <f>A90</f>
        <v>Соль иодиров.</v>
      </c>
      <c r="AI90" s="7"/>
      <c r="AJ90" s="7"/>
      <c r="AK90" s="7"/>
    </row>
    <row r="91" spans="1:37" ht="15" customHeight="1" thickTop="1">
      <c r="A91" s="133"/>
      <c r="B91" s="122"/>
      <c r="C91" s="77" t="s">
        <v>72</v>
      </c>
      <c r="D91" s="287"/>
      <c r="E91" s="268"/>
      <c r="F91" s="112"/>
      <c r="G91" s="106"/>
      <c r="H91" s="460"/>
      <c r="I91" s="177">
        <v>8</v>
      </c>
      <c r="J91" s="114">
        <f>I91/I26*J26</f>
        <v>7.9999999999999991</v>
      </c>
      <c r="K91" s="106"/>
      <c r="L91" s="106"/>
      <c r="M91" s="106"/>
      <c r="N91" s="106"/>
      <c r="O91" s="269"/>
      <c r="P91" s="371"/>
      <c r="Q91" s="268"/>
      <c r="R91" s="268"/>
      <c r="S91" s="177"/>
      <c r="T91" s="114"/>
      <c r="U91" s="509"/>
      <c r="V91" s="137"/>
      <c r="W91" s="106"/>
      <c r="X91" s="371"/>
      <c r="Y91" s="268"/>
      <c r="Z91" s="106"/>
      <c r="AA91" s="106"/>
      <c r="AB91" s="106"/>
      <c r="AC91" s="106"/>
      <c r="AD91" s="263"/>
      <c r="AE91" s="123"/>
      <c r="AF91" s="7"/>
      <c r="AG91" s="224"/>
      <c r="AH91" s="7"/>
      <c r="AI91" s="7"/>
      <c r="AJ91" s="7"/>
      <c r="AK91" s="7"/>
    </row>
    <row r="92" spans="1:37" ht="18" customHeight="1" thickBot="1">
      <c r="A92" s="346" t="s">
        <v>89</v>
      </c>
      <c r="B92" s="347">
        <v>190</v>
      </c>
      <c r="C92" s="348" t="s">
        <v>73</v>
      </c>
      <c r="D92" s="385"/>
      <c r="E92" s="353"/>
      <c r="F92" s="338"/>
      <c r="G92" s="337"/>
      <c r="H92" s="459"/>
      <c r="I92" s="349">
        <f>I91*F25/1000</f>
        <v>0.8</v>
      </c>
      <c r="J92" s="339">
        <f>I92</f>
        <v>0.8</v>
      </c>
      <c r="K92" s="337"/>
      <c r="L92" s="337"/>
      <c r="M92" s="337"/>
      <c r="N92" s="337"/>
      <c r="O92" s="352"/>
      <c r="P92" s="370"/>
      <c r="Q92" s="353"/>
      <c r="R92" s="353"/>
      <c r="S92" s="349"/>
      <c r="T92" s="340"/>
      <c r="U92" s="501"/>
      <c r="V92" s="341"/>
      <c r="W92" s="337"/>
      <c r="X92" s="370"/>
      <c r="Y92" s="353"/>
      <c r="Z92" s="337"/>
      <c r="AA92" s="337"/>
      <c r="AB92" s="337"/>
      <c r="AC92" s="337"/>
      <c r="AD92" s="399">
        <f>ROUND(E92+G92+H92+J92+K92+L92+O92+R92+T92+U92+V92+W92+Y92+Z92+AB92+AC92,2)</f>
        <v>0.8</v>
      </c>
      <c r="AE92" s="344">
        <f>AD92*B92</f>
        <v>152</v>
      </c>
      <c r="AF92" s="7"/>
      <c r="AG92" s="226">
        <f>AD92+AD192</f>
        <v>1.1499999999999999</v>
      </c>
      <c r="AH92" s="7" t="str">
        <f>A92</f>
        <v>Лимоны</v>
      </c>
      <c r="AI92" s="7"/>
      <c r="AJ92" s="7"/>
      <c r="AK92" s="7"/>
    </row>
    <row r="93" spans="1:37" ht="15.75" customHeight="1" thickTop="1">
      <c r="A93" s="141"/>
      <c r="B93" s="334"/>
      <c r="C93" s="310" t="s">
        <v>72</v>
      </c>
      <c r="D93" s="695"/>
      <c r="E93" s="268"/>
      <c r="F93" s="112"/>
      <c r="G93" s="106"/>
      <c r="H93" s="460"/>
      <c r="I93" s="112"/>
      <c r="J93" s="106"/>
      <c r="K93" s="106"/>
      <c r="L93" s="106"/>
      <c r="M93" s="106"/>
      <c r="N93" s="106"/>
      <c r="O93" s="270"/>
      <c r="P93" s="371"/>
      <c r="Q93" s="272"/>
      <c r="R93" s="272"/>
      <c r="S93" s="112"/>
      <c r="T93" s="251"/>
      <c r="U93" s="560"/>
      <c r="V93" s="464"/>
      <c r="W93" s="106"/>
      <c r="X93" s="177">
        <f>4.8/80*X26</f>
        <v>4.8</v>
      </c>
      <c r="Y93" s="256">
        <f>X93/X26*Y26</f>
        <v>4.8</v>
      </c>
      <c r="Z93" s="106"/>
      <c r="AA93" s="106"/>
      <c r="AB93" s="106"/>
      <c r="AC93" s="106"/>
      <c r="AD93" s="215"/>
      <c r="AE93" s="216"/>
      <c r="AF93" s="7"/>
      <c r="AG93" s="414"/>
      <c r="AH93" s="7"/>
      <c r="AI93" s="7"/>
      <c r="AJ93" s="7"/>
      <c r="AK93" s="7"/>
    </row>
    <row r="94" spans="1:37" ht="18" customHeight="1" thickBot="1">
      <c r="A94" s="346" t="s">
        <v>230</v>
      </c>
      <c r="B94" s="347">
        <v>37.53</v>
      </c>
      <c r="C94" s="348" t="s">
        <v>73</v>
      </c>
      <c r="D94" s="385"/>
      <c r="E94" s="353"/>
      <c r="F94" s="338"/>
      <c r="G94" s="337"/>
      <c r="H94" s="459"/>
      <c r="I94" s="338"/>
      <c r="J94" s="337"/>
      <c r="K94" s="337"/>
      <c r="L94" s="337"/>
      <c r="M94" s="337"/>
      <c r="N94" s="337"/>
      <c r="O94" s="352"/>
      <c r="P94" s="370"/>
      <c r="Q94" s="350"/>
      <c r="R94" s="350"/>
      <c r="S94" s="338"/>
      <c r="T94" s="358"/>
      <c r="U94" s="561"/>
      <c r="V94" s="369"/>
      <c r="W94" s="337"/>
      <c r="X94" s="349">
        <f>X93*F25/1000</f>
        <v>0.48</v>
      </c>
      <c r="Y94" s="339">
        <f>ROUND(X94,2)</f>
        <v>0.48</v>
      </c>
      <c r="Z94" s="337"/>
      <c r="AA94" s="337"/>
      <c r="AB94" s="337"/>
      <c r="AC94" s="337"/>
      <c r="AD94" s="399">
        <f>ROUND(E94+G94+H94+J94+K94+L94+O94+R94+T94+U94+V94+W94+Y94+Z94+AB94+AC94,2)</f>
        <v>0.48</v>
      </c>
      <c r="AE94" s="312">
        <f>AD94*B94</f>
        <v>18.014399999999998</v>
      </c>
      <c r="AF94" s="7"/>
      <c r="AG94" s="226">
        <f>AD94+AD194</f>
        <v>0.96</v>
      </c>
      <c r="AH94" s="7" t="str">
        <f>A94</f>
        <v>Манная крупа</v>
      </c>
      <c r="AI94" s="7"/>
      <c r="AJ94" s="7"/>
      <c r="AK94" s="7"/>
    </row>
    <row r="95" spans="1:37" ht="15.75" customHeight="1" thickTop="1">
      <c r="A95" s="133"/>
      <c r="B95" s="122"/>
      <c r="C95" s="77" t="s">
        <v>72</v>
      </c>
      <c r="D95" s="287"/>
      <c r="E95" s="268"/>
      <c r="F95" s="112"/>
      <c r="G95" s="106"/>
      <c r="H95" s="460"/>
      <c r="I95" s="112"/>
      <c r="J95" s="106"/>
      <c r="K95" s="106"/>
      <c r="L95" s="106"/>
      <c r="M95" s="106"/>
      <c r="N95" s="106"/>
      <c r="O95" s="270"/>
      <c r="P95" s="371"/>
      <c r="Q95" s="272"/>
      <c r="R95" s="272"/>
      <c r="S95" s="112"/>
      <c r="T95" s="181"/>
      <c r="U95" s="560"/>
      <c r="V95" s="559"/>
      <c r="W95" s="106"/>
      <c r="X95" s="371"/>
      <c r="Y95" s="499"/>
      <c r="Z95" s="106"/>
      <c r="AA95" s="106"/>
      <c r="AB95" s="106"/>
      <c r="AC95" s="106"/>
      <c r="AD95" s="215"/>
      <c r="AE95" s="216"/>
      <c r="AF95" s="7"/>
      <c r="AG95" s="414"/>
      <c r="AH95" s="7"/>
      <c r="AI95" s="7"/>
      <c r="AJ95" s="7"/>
      <c r="AK95" s="7"/>
    </row>
    <row r="96" spans="1:37" ht="18" customHeight="1" thickBot="1">
      <c r="A96" s="346"/>
      <c r="B96" s="347"/>
      <c r="C96" s="348" t="s">
        <v>73</v>
      </c>
      <c r="D96" s="385"/>
      <c r="E96" s="353"/>
      <c r="F96" s="338"/>
      <c r="G96" s="337"/>
      <c r="H96" s="459"/>
      <c r="I96" s="338"/>
      <c r="J96" s="337"/>
      <c r="K96" s="337"/>
      <c r="L96" s="337"/>
      <c r="M96" s="337"/>
      <c r="N96" s="337"/>
      <c r="O96" s="835"/>
      <c r="P96" s="343"/>
      <c r="Q96" s="341"/>
      <c r="R96" s="341"/>
      <c r="S96" s="349"/>
      <c r="T96" s="339"/>
      <c r="U96" s="501"/>
      <c r="V96" s="341"/>
      <c r="W96" s="337"/>
      <c r="X96" s="370"/>
      <c r="Y96" s="350"/>
      <c r="Z96" s="337"/>
      <c r="AA96" s="337"/>
      <c r="AB96" s="337"/>
      <c r="AC96" s="337"/>
      <c r="AD96" s="343">
        <f>ROUND(E96+G96+H96+J96+K96+L96+O96+P96+Q96+R96+T96+V96+W96+X96+Y96+Z96+AB96+AC96,2)</f>
        <v>0</v>
      </c>
      <c r="AE96" s="351">
        <f>AD96*B96</f>
        <v>0</v>
      </c>
      <c r="AF96" s="7"/>
      <c r="AG96" s="226">
        <f>AD96+AD196</f>
        <v>0</v>
      </c>
      <c r="AH96" s="7">
        <f>A96</f>
        <v>0</v>
      </c>
      <c r="AI96" s="7"/>
      <c r="AJ96" s="7"/>
      <c r="AK96" s="7"/>
    </row>
    <row r="97" spans="1:31" ht="15" customHeight="1" thickTop="1">
      <c r="A97" s="133"/>
      <c r="B97" s="213"/>
      <c r="C97" s="427"/>
      <c r="D97" s="287"/>
      <c r="E97" s="268"/>
      <c r="F97" s="112"/>
      <c r="G97" s="106"/>
      <c r="H97" s="460"/>
      <c r="I97" s="112"/>
      <c r="J97" s="106"/>
      <c r="K97" s="106"/>
      <c r="L97" s="106"/>
      <c r="M97" s="106"/>
      <c r="N97" s="106"/>
      <c r="O97" s="270"/>
      <c r="P97" s="371"/>
      <c r="Q97" s="272"/>
      <c r="R97" s="272"/>
      <c r="S97" s="112"/>
      <c r="T97" s="562"/>
      <c r="U97" s="563"/>
      <c r="V97" s="559"/>
      <c r="W97" s="106"/>
      <c r="X97" s="371"/>
      <c r="Y97" s="272"/>
      <c r="Z97" s="106"/>
      <c r="AA97" s="106"/>
      <c r="AB97" s="106"/>
      <c r="AC97" s="106"/>
      <c r="AD97" s="426"/>
      <c r="AE97" s="124">
        <f>AE28+AE30+AE32+AE34+AE36+AE38+AE40+AE42+AE44+AE46+AE48+AE50+AE52+AE62+AE64+AE66+AE68+AE70+AE72+AE74+AE76+AE78+AE80+AE82+AE84+AE86+AE88+AE90+AE92+AE94+AE96</f>
        <v>12771.564399999999</v>
      </c>
    </row>
    <row r="98" spans="1:31">
      <c r="A98" s="43" t="s">
        <v>311</v>
      </c>
      <c r="O98" s="32"/>
      <c r="P98" s="32"/>
      <c r="T98" s="425"/>
      <c r="V98" s="425"/>
      <c r="W98" s="43" t="s">
        <v>30</v>
      </c>
      <c r="AE98" s="118">
        <f>L13</f>
        <v>11000</v>
      </c>
    </row>
    <row r="99" spans="1:31" ht="9" customHeight="1">
      <c r="A99" s="43" t="s">
        <v>50</v>
      </c>
      <c r="O99" s="32"/>
      <c r="P99" s="32"/>
      <c r="W99" s="43" t="s">
        <v>31</v>
      </c>
    </row>
    <row r="100" spans="1:31" ht="16.5" customHeight="1">
      <c r="A100" s="43" t="s">
        <v>320</v>
      </c>
      <c r="W100" s="43" t="s">
        <v>330</v>
      </c>
    </row>
    <row r="101" spans="1:31" ht="3" customHeight="1">
      <c r="A101" s="43" t="s">
        <v>37</v>
      </c>
      <c r="W101" s="43" t="s">
        <v>31</v>
      </c>
    </row>
    <row r="102" spans="1:31" ht="10.5" customHeight="1">
      <c r="A102" s="3" t="s">
        <v>319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7"/>
      <c r="Z102" s="10"/>
      <c r="AA102" s="10"/>
      <c r="AB102" s="10"/>
      <c r="AC102" s="10"/>
      <c r="AD102" s="11"/>
      <c r="AE102" s="11"/>
    </row>
    <row r="103" spans="1:31" ht="18">
      <c r="A103" s="9" t="s">
        <v>2</v>
      </c>
      <c r="B103" s="8"/>
      <c r="C103" s="8"/>
      <c r="D103" s="8"/>
      <c r="E103" s="8"/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060" t="s">
        <v>200</v>
      </c>
      <c r="T103" s="1061"/>
      <c r="U103" s="1061"/>
      <c r="V103" s="1061"/>
      <c r="W103" s="1061"/>
      <c r="X103" s="1061"/>
      <c r="Y103" s="1061"/>
      <c r="Z103" s="1061"/>
      <c r="AA103" s="1061"/>
      <c r="AB103" s="1061"/>
      <c r="AC103" s="1061"/>
      <c r="AD103" s="1061"/>
      <c r="AE103" s="1061"/>
    </row>
    <row r="104" spans="1:31" ht="18.75">
      <c r="A104" s="757" t="str">
        <f>A4</f>
        <v>"08"   января  2024  г.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</row>
    <row r="105" spans="1:31" ht="2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3"/>
      <c r="N105" s="3"/>
      <c r="O105" s="2"/>
      <c r="P105" s="2"/>
      <c r="Q105" s="3"/>
      <c r="R105" s="3"/>
      <c r="S105" s="3"/>
      <c r="T105" s="3"/>
      <c r="U105" s="3"/>
      <c r="V105" s="2"/>
      <c r="W105" s="2"/>
      <c r="X105" s="1"/>
      <c r="Y105" s="7"/>
      <c r="Z105" s="7"/>
      <c r="AA105" s="7"/>
      <c r="AB105" s="7"/>
      <c r="AC105" s="7"/>
    </row>
    <row r="106" spans="1:31" ht="6.75" customHeight="1" thickBot="1">
      <c r="A106" s="1048" t="s">
        <v>42</v>
      </c>
      <c r="B106" s="1048"/>
      <c r="C106" s="1048"/>
      <c r="D106" s="992"/>
      <c r="E106" s="1047" t="s">
        <v>35</v>
      </c>
      <c r="F106" s="1048"/>
      <c r="G106" s="1049"/>
      <c r="H106" s="992"/>
      <c r="I106" s="1047" t="s">
        <v>60</v>
      </c>
      <c r="J106" s="1047"/>
      <c r="K106" s="1049"/>
      <c r="L106" s="1047" t="s">
        <v>58</v>
      </c>
      <c r="M106" s="1048"/>
      <c r="N106" s="1048"/>
      <c r="O106" s="31"/>
      <c r="P106" s="29"/>
      <c r="Q106" s="29"/>
      <c r="R106" s="21"/>
      <c r="S106" s="19"/>
      <c r="T106" s="3"/>
      <c r="U106" s="7"/>
      <c r="V106" s="7"/>
      <c r="W106" s="7"/>
      <c r="X106" s="7"/>
      <c r="Y106" s="7"/>
      <c r="Z106" s="7"/>
      <c r="AA106" s="7"/>
      <c r="AB106" s="7"/>
      <c r="AC106" s="7"/>
      <c r="AD106" s="1088" t="s">
        <v>0</v>
      </c>
      <c r="AE106" s="1089"/>
    </row>
    <row r="107" spans="1:31" ht="9" customHeight="1">
      <c r="A107" s="1059" t="s">
        <v>43</v>
      </c>
      <c r="B107" s="1059"/>
      <c r="C107" s="1059"/>
      <c r="D107" s="1001"/>
      <c r="E107" s="1065" t="s">
        <v>34</v>
      </c>
      <c r="F107" s="1066"/>
      <c r="G107" s="1067"/>
      <c r="H107" s="1001"/>
      <c r="I107" s="1065" t="s">
        <v>12</v>
      </c>
      <c r="J107" s="1065"/>
      <c r="K107" s="1067"/>
      <c r="L107" s="1065" t="s">
        <v>15</v>
      </c>
      <c r="M107" s="1066"/>
      <c r="N107" s="1108"/>
      <c r="O107" s="1065" t="s">
        <v>14</v>
      </c>
      <c r="P107" s="1066"/>
      <c r="Q107" s="1066"/>
      <c r="R107" s="1067"/>
      <c r="S107" s="5" t="s">
        <v>196</v>
      </c>
      <c r="T107" s="1106" t="str">
        <f>T7</f>
        <v>на  "09" января  2024 г</v>
      </c>
      <c r="U107" s="1138"/>
      <c r="V107" s="1138"/>
      <c r="W107" s="1138"/>
      <c r="X107" s="1138"/>
      <c r="Y107" s="1138"/>
      <c r="Z107" s="1109" t="s">
        <v>190</v>
      </c>
      <c r="AA107" s="1109"/>
      <c r="AB107" s="1110"/>
      <c r="AC107" s="1111"/>
      <c r="AD107" s="1090" t="s">
        <v>23</v>
      </c>
      <c r="AE107" s="1091"/>
    </row>
    <row r="108" spans="1:31" ht="13.5" thickBot="1">
      <c r="A108" s="993" t="s">
        <v>44</v>
      </c>
      <c r="B108" s="1047" t="s">
        <v>46</v>
      </c>
      <c r="C108" s="1048"/>
      <c r="D108" s="1001"/>
      <c r="E108" s="1065" t="s">
        <v>39</v>
      </c>
      <c r="F108" s="1066"/>
      <c r="G108" s="1067"/>
      <c r="H108" s="1001"/>
      <c r="I108" s="1065" t="s">
        <v>49</v>
      </c>
      <c r="J108" s="1065"/>
      <c r="K108" s="1067"/>
      <c r="L108" s="1065" t="s">
        <v>59</v>
      </c>
      <c r="M108" s="1066"/>
      <c r="N108" s="1066"/>
      <c r="O108" s="1065" t="s">
        <v>40</v>
      </c>
      <c r="P108" s="1066"/>
      <c r="Q108" s="1066"/>
      <c r="R108" s="1067"/>
      <c r="S108" s="5" t="s">
        <v>197</v>
      </c>
      <c r="T108" s="1138"/>
      <c r="U108" s="1138"/>
      <c r="V108" s="1138"/>
      <c r="W108" s="1138"/>
      <c r="X108" s="1138"/>
      <c r="Y108" s="1138"/>
      <c r="AC108" s="56"/>
      <c r="AD108" s="755"/>
      <c r="AE108" s="756"/>
    </row>
    <row r="109" spans="1:31" ht="13.5" thickBot="1">
      <c r="A109" s="1002" t="s">
        <v>45</v>
      </c>
      <c r="B109" s="1065" t="s">
        <v>47</v>
      </c>
      <c r="C109" s="1066"/>
      <c r="D109" s="1013"/>
      <c r="E109" s="1065" t="s">
        <v>38</v>
      </c>
      <c r="F109" s="1066"/>
      <c r="G109" s="1067"/>
      <c r="H109" s="1001"/>
      <c r="I109" s="1065" t="s">
        <v>13</v>
      </c>
      <c r="J109" s="1065"/>
      <c r="K109" s="1067"/>
      <c r="L109" s="1065" t="s">
        <v>38</v>
      </c>
      <c r="M109" s="1066"/>
      <c r="N109" s="1066"/>
      <c r="O109" s="25"/>
      <c r="P109" s="3"/>
      <c r="Q109" s="3"/>
      <c r="R109" s="17"/>
      <c r="S109" s="5" t="s">
        <v>198</v>
      </c>
      <c r="T109" s="3" t="s">
        <v>194</v>
      </c>
      <c r="U109" s="759"/>
      <c r="V109" s="759"/>
      <c r="W109" s="1007"/>
      <c r="X109" s="1007"/>
      <c r="Y109" s="1007"/>
      <c r="Z109" s="1007"/>
      <c r="AA109" s="1007"/>
      <c r="AB109" s="758"/>
      <c r="AC109" s="746" t="s">
        <v>191</v>
      </c>
      <c r="AD109" s="749"/>
      <c r="AE109" s="745"/>
    </row>
    <row r="110" spans="1:31" ht="3" customHeight="1">
      <c r="A110" s="17"/>
      <c r="B110" s="1058" t="s">
        <v>48</v>
      </c>
      <c r="C110" s="1059"/>
      <c r="D110" s="1001"/>
      <c r="E110" s="1007"/>
      <c r="F110" s="3"/>
      <c r="G110" s="30"/>
      <c r="H110" s="32"/>
      <c r="I110" s="3"/>
      <c r="J110" s="3"/>
      <c r="K110" s="30"/>
      <c r="L110" s="1058"/>
      <c r="M110" s="1059"/>
      <c r="N110" s="1059"/>
      <c r="O110" s="25"/>
      <c r="P110" s="3"/>
      <c r="Q110" s="3"/>
      <c r="R110" s="17"/>
      <c r="S110" s="777"/>
      <c r="T110" s="32"/>
      <c r="U110" s="760" t="s">
        <v>96</v>
      </c>
      <c r="V110" s="32"/>
      <c r="W110" s="32"/>
      <c r="X110" s="32"/>
      <c r="Y110" s="32"/>
      <c r="Z110" s="32"/>
      <c r="AA110" s="32"/>
      <c r="AB110" s="32"/>
      <c r="AC110" s="56"/>
      <c r="AD110" s="32"/>
      <c r="AE110" s="56"/>
    </row>
    <row r="111" spans="1:31" ht="4.5" customHeight="1" thickBot="1">
      <c r="A111" s="58">
        <v>1</v>
      </c>
      <c r="B111" s="62"/>
      <c r="C111" s="63">
        <v>2</v>
      </c>
      <c r="D111" s="292"/>
      <c r="E111" s="994"/>
      <c r="F111" s="994">
        <v>3</v>
      </c>
      <c r="G111" s="995"/>
      <c r="H111" s="994"/>
      <c r="I111" s="994"/>
      <c r="J111" s="994">
        <v>4</v>
      </c>
      <c r="K111" s="995"/>
      <c r="L111" s="994"/>
      <c r="M111" s="994"/>
      <c r="N111" s="994">
        <v>5</v>
      </c>
      <c r="O111" s="998"/>
      <c r="P111" s="994"/>
      <c r="Q111" s="994">
        <v>6</v>
      </c>
      <c r="R111" s="995"/>
      <c r="S111" s="776">
        <v>7</v>
      </c>
      <c r="T111" s="1074" t="s">
        <v>307</v>
      </c>
      <c r="U111" s="1112"/>
      <c r="V111" s="1112"/>
      <c r="W111" s="1112"/>
      <c r="X111" s="1112"/>
      <c r="Y111" s="1112"/>
      <c r="Z111" s="1112"/>
      <c r="AA111" s="1014"/>
      <c r="AB111" s="682"/>
      <c r="AC111" s="699" t="s">
        <v>199</v>
      </c>
      <c r="AD111" s="682"/>
      <c r="AE111" s="744"/>
    </row>
    <row r="112" spans="1:31" ht="10.5" customHeight="1">
      <c r="A112" s="37"/>
      <c r="B112" s="38"/>
      <c r="C112" s="38"/>
      <c r="D112" s="38"/>
      <c r="E112" s="38"/>
      <c r="F112" s="38"/>
      <c r="G112" s="39"/>
      <c r="H112" s="38"/>
      <c r="I112" s="38"/>
      <c r="J112" s="38"/>
      <c r="K112" s="39"/>
      <c r="L112" s="38"/>
      <c r="M112" s="38"/>
      <c r="N112" s="38"/>
      <c r="O112" s="40"/>
      <c r="P112" s="38"/>
      <c r="Q112" s="38"/>
      <c r="R112" s="39"/>
      <c r="S112" s="773"/>
      <c r="T112" s="1112"/>
      <c r="U112" s="1112"/>
      <c r="V112" s="1112"/>
      <c r="W112" s="1112"/>
      <c r="X112" s="1112"/>
      <c r="Y112" s="1112"/>
      <c r="Z112" s="1112"/>
      <c r="AA112" s="1014"/>
      <c r="AB112" s="32"/>
      <c r="AC112" s="741"/>
      <c r="AD112" s="702"/>
      <c r="AE112" s="56"/>
    </row>
    <row r="113" spans="1:31" ht="16.5" thickBot="1">
      <c r="A113" s="780" t="s">
        <v>201</v>
      </c>
      <c r="B113" s="28"/>
      <c r="C113" s="28"/>
      <c r="D113" s="28"/>
      <c r="E113" s="28"/>
      <c r="F113" s="28"/>
      <c r="G113" s="218">
        <f>G13</f>
        <v>110</v>
      </c>
      <c r="H113" s="218"/>
      <c r="I113" s="1113">
        <f>B125</f>
        <v>100</v>
      </c>
      <c r="J113" s="1114"/>
      <c r="K113" s="1069"/>
      <c r="L113" s="1075">
        <f>B125*G113</f>
        <v>11000</v>
      </c>
      <c r="M113" s="1114"/>
      <c r="N113" s="1069"/>
      <c r="O113" s="1068">
        <f>AE197/B125</f>
        <v>105.89797999999998</v>
      </c>
      <c r="P113" s="1115"/>
      <c r="Q113" s="1115"/>
      <c r="R113" s="1069"/>
      <c r="S113" s="774"/>
      <c r="T113" s="3"/>
      <c r="U113" s="761" t="str">
        <f>U13</f>
        <v>"Детский сад № 31 г. Ельца"</v>
      </c>
      <c r="V113" s="3"/>
      <c r="W113" s="762"/>
      <c r="X113" s="8"/>
      <c r="Y113" s="8"/>
      <c r="Z113" s="8"/>
      <c r="AA113" s="8"/>
      <c r="AB113" s="682"/>
      <c r="AC113" s="610"/>
      <c r="AD113" s="743"/>
      <c r="AE113" s="704"/>
    </row>
    <row r="114" spans="1:31" ht="12.75" customHeight="1" thickBot="1">
      <c r="A114" s="766"/>
      <c r="B114" s="48"/>
      <c r="C114" s="45"/>
      <c r="D114" s="45"/>
      <c r="E114" s="45"/>
      <c r="F114" s="45"/>
      <c r="G114" s="49"/>
      <c r="H114" s="45"/>
      <c r="I114" s="45"/>
      <c r="J114" s="45"/>
      <c r="K114" s="49"/>
      <c r="L114" s="28"/>
      <c r="M114" s="28"/>
      <c r="N114" s="28"/>
      <c r="O114" s="51"/>
      <c r="P114" s="28"/>
      <c r="Q114" s="28"/>
      <c r="R114" s="27"/>
      <c r="S114" s="774"/>
      <c r="T114" s="3"/>
      <c r="U114" s="8"/>
      <c r="V114" s="8"/>
      <c r="W114" s="32"/>
      <c r="X114" s="32"/>
      <c r="Y114" s="32"/>
      <c r="Z114" s="32"/>
      <c r="AA114" s="32"/>
      <c r="AB114" s="32"/>
      <c r="AC114" s="684"/>
      <c r="AD114" s="54"/>
      <c r="AE114" s="56"/>
    </row>
    <row r="115" spans="1:31" ht="19.5" thickBot="1">
      <c r="A115" s="769"/>
      <c r="B115" s="38"/>
      <c r="C115" s="38"/>
      <c r="D115" s="38"/>
      <c r="E115" s="38"/>
      <c r="F115" s="38"/>
      <c r="G115" s="38"/>
      <c r="H115" s="768"/>
      <c r="I115" s="38"/>
      <c r="J115" s="3" t="s">
        <v>33</v>
      </c>
      <c r="K115" s="42"/>
      <c r="L115" s="3"/>
      <c r="M115" s="45"/>
      <c r="N115" s="45"/>
      <c r="O115" s="1116">
        <f>O113*B125</f>
        <v>10589.797999999997</v>
      </c>
      <c r="P115" s="1117"/>
      <c r="Q115" s="1117"/>
      <c r="R115" s="1118"/>
      <c r="S115" s="775"/>
      <c r="T115" s="3" t="s">
        <v>193</v>
      </c>
      <c r="U115" s="8"/>
      <c r="V115" s="8"/>
      <c r="W115" s="763"/>
      <c r="X115" s="764" t="str">
        <f>X15</f>
        <v>Глухова Г.В.</v>
      </c>
      <c r="Y115" s="32"/>
      <c r="Z115" s="32"/>
      <c r="AA115" s="32"/>
      <c r="AB115" s="32"/>
      <c r="AD115" s="66"/>
      <c r="AE115" s="67"/>
    </row>
    <row r="116" spans="1:31" ht="2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8"/>
      <c r="M116" s="770"/>
      <c r="N116" s="770"/>
      <c r="O116" s="770"/>
      <c r="P116" s="770"/>
      <c r="Q116" s="770"/>
      <c r="R116" s="770"/>
      <c r="S116" s="770"/>
      <c r="T116" s="3"/>
      <c r="U116" s="7"/>
      <c r="V116" s="7"/>
      <c r="AB116" s="32"/>
    </row>
    <row r="117" spans="1:31" ht="2.2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7"/>
      <c r="Y117" s="7"/>
      <c r="Z117" s="7"/>
      <c r="AA117" s="7"/>
      <c r="AB117" s="7"/>
      <c r="AC117" s="7"/>
      <c r="AD117" s="8"/>
      <c r="AE117" s="8"/>
    </row>
    <row r="118" spans="1:31" ht="9" customHeight="1">
      <c r="A118" s="26" t="s">
        <v>53</v>
      </c>
      <c r="B118" s="20"/>
      <c r="C118" s="65"/>
      <c r="D118" s="65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8" t="s">
        <v>41</v>
      </c>
      <c r="R118" s="28"/>
      <c r="S118" s="28"/>
      <c r="T118" s="14"/>
      <c r="U118" s="14"/>
      <c r="V118" s="14"/>
      <c r="W118" s="28"/>
      <c r="X118" s="28"/>
      <c r="Y118" s="14"/>
      <c r="Z118" s="14"/>
      <c r="AA118" s="14"/>
      <c r="AB118" s="14"/>
      <c r="AC118" s="14"/>
      <c r="AD118" s="1047" t="s">
        <v>8</v>
      </c>
      <c r="AE118" s="1048"/>
    </row>
    <row r="119" spans="1:31">
      <c r="A119" s="993"/>
      <c r="B119" s="19"/>
      <c r="C119" s="70" t="s">
        <v>52</v>
      </c>
      <c r="D119" s="992"/>
      <c r="E119" s="1052" t="s">
        <v>108</v>
      </c>
      <c r="F119" s="1052"/>
      <c r="G119" s="1052"/>
      <c r="H119" s="1052"/>
      <c r="I119" s="1052"/>
      <c r="J119" s="1052"/>
      <c r="K119" s="1087"/>
      <c r="L119" s="994" t="s">
        <v>69</v>
      </c>
      <c r="M119" s="1011"/>
      <c r="N119" s="994"/>
      <c r="O119" s="1052" t="s">
        <v>16</v>
      </c>
      <c r="P119" s="1052"/>
      <c r="Q119" s="1052"/>
      <c r="R119" s="1052"/>
      <c r="S119" s="1052"/>
      <c r="T119" s="1052"/>
      <c r="U119" s="1052"/>
      <c r="V119" s="1052"/>
      <c r="W119" s="1052"/>
      <c r="X119" s="1087"/>
      <c r="Y119" s="1139" t="s">
        <v>17</v>
      </c>
      <c r="Z119" s="1052"/>
      <c r="AA119" s="1052"/>
      <c r="AB119" s="1052"/>
      <c r="AC119" s="1087"/>
      <c r="AD119" s="1059" t="s">
        <v>3</v>
      </c>
      <c r="AE119" s="1059"/>
    </row>
    <row r="120" spans="1:31" ht="3" customHeight="1">
      <c r="A120" s="1002"/>
      <c r="B120" s="5"/>
      <c r="C120" s="70" t="s">
        <v>51</v>
      </c>
      <c r="D120" s="1001"/>
      <c r="E120" s="1054"/>
      <c r="F120" s="1054"/>
      <c r="G120" s="1054"/>
      <c r="H120" s="1054"/>
      <c r="I120" s="1054"/>
      <c r="J120" s="1054"/>
      <c r="K120" s="1086"/>
      <c r="L120" s="996"/>
      <c r="M120" s="1010"/>
      <c r="N120" s="996"/>
      <c r="O120" s="1054"/>
      <c r="P120" s="1054"/>
      <c r="Q120" s="1054"/>
      <c r="R120" s="1054"/>
      <c r="S120" s="1054"/>
      <c r="T120" s="1054"/>
      <c r="U120" s="1054"/>
      <c r="V120" s="1054"/>
      <c r="W120" s="1054"/>
      <c r="X120" s="1086"/>
      <c r="Y120" s="1140"/>
      <c r="Z120" s="1054"/>
      <c r="AA120" s="1054"/>
      <c r="AB120" s="1054"/>
      <c r="AC120" s="1086"/>
      <c r="AD120" s="1064" t="s">
        <v>36</v>
      </c>
      <c r="AE120" s="1064"/>
    </row>
    <row r="121" spans="1:31" ht="12.75" customHeight="1">
      <c r="A121" s="1002" t="s">
        <v>54</v>
      </c>
      <c r="B121" s="5"/>
      <c r="C121" s="70" t="s">
        <v>9</v>
      </c>
      <c r="D121" s="1141" t="s">
        <v>168</v>
      </c>
      <c r="E121" s="1081" t="s">
        <v>169</v>
      </c>
      <c r="F121" s="1041" t="s">
        <v>162</v>
      </c>
      <c r="G121" s="1096"/>
      <c r="H121" s="982"/>
      <c r="I121" s="1041" t="s">
        <v>177</v>
      </c>
      <c r="J121" s="1038"/>
      <c r="K121" s="1038" t="s">
        <v>117</v>
      </c>
      <c r="L121" s="1038" t="s">
        <v>123</v>
      </c>
      <c r="M121" s="1126" t="s">
        <v>225</v>
      </c>
      <c r="N121" s="1142" t="s">
        <v>137</v>
      </c>
      <c r="O121" s="1035" t="s">
        <v>160</v>
      </c>
      <c r="P121" s="982"/>
      <c r="Q121" s="1017"/>
      <c r="R121" s="1145" t="s">
        <v>228</v>
      </c>
      <c r="S121" s="1041" t="s">
        <v>226</v>
      </c>
      <c r="T121" s="1038"/>
      <c r="U121" s="1044" t="s">
        <v>301</v>
      </c>
      <c r="V121" s="1044" t="s">
        <v>145</v>
      </c>
      <c r="W121" s="1044" t="s">
        <v>68</v>
      </c>
      <c r="X121" s="1041" t="s">
        <v>172</v>
      </c>
      <c r="Y121" s="1120"/>
      <c r="Z121" s="1123" t="s">
        <v>227</v>
      </c>
      <c r="AA121" s="985"/>
      <c r="AB121" s="1044" t="s">
        <v>229</v>
      </c>
      <c r="AC121" s="1038" t="s">
        <v>70</v>
      </c>
      <c r="AD121" s="24"/>
      <c r="AE121" s="1019"/>
    </row>
    <row r="122" spans="1:31" ht="12.75" customHeight="1">
      <c r="A122" s="1002"/>
      <c r="B122" s="5"/>
      <c r="C122" s="70" t="s">
        <v>10</v>
      </c>
      <c r="D122" s="1102"/>
      <c r="E122" s="1082"/>
      <c r="F122" s="1042"/>
      <c r="G122" s="1098"/>
      <c r="H122" s="983"/>
      <c r="I122" s="1042"/>
      <c r="J122" s="1039"/>
      <c r="K122" s="1039"/>
      <c r="L122" s="1039"/>
      <c r="M122" s="1127"/>
      <c r="N122" s="1143"/>
      <c r="O122" s="1036"/>
      <c r="P122" s="983"/>
      <c r="Q122" s="1018"/>
      <c r="R122" s="1146"/>
      <c r="S122" s="1042"/>
      <c r="T122" s="1039"/>
      <c r="U122" s="1045"/>
      <c r="V122" s="1045"/>
      <c r="W122" s="1045"/>
      <c r="X122" s="1097"/>
      <c r="Y122" s="1121"/>
      <c r="Z122" s="1124"/>
      <c r="AA122" s="986"/>
      <c r="AB122" s="1045"/>
      <c r="AC122" s="1039"/>
      <c r="AD122" s="19" t="s">
        <v>6</v>
      </c>
      <c r="AE122" s="1001" t="s">
        <v>4</v>
      </c>
    </row>
    <row r="123" spans="1:31" ht="95.25" customHeight="1">
      <c r="A123" s="1006"/>
      <c r="B123" s="4"/>
      <c r="C123" s="71"/>
      <c r="D123" s="1103"/>
      <c r="E123" s="1083"/>
      <c r="F123" s="1043"/>
      <c r="G123" s="1100"/>
      <c r="H123" s="984"/>
      <c r="I123" s="1043"/>
      <c r="J123" s="1040"/>
      <c r="K123" s="1040"/>
      <c r="L123" s="1040"/>
      <c r="M123" s="1128"/>
      <c r="N123" s="1144"/>
      <c r="O123" s="1037"/>
      <c r="P123" s="984" t="s">
        <v>258</v>
      </c>
      <c r="Q123" s="934" t="s">
        <v>159</v>
      </c>
      <c r="R123" s="1131"/>
      <c r="S123" s="1043"/>
      <c r="T123" s="1040"/>
      <c r="U123" s="1046"/>
      <c r="V123" s="1046"/>
      <c r="W123" s="1046"/>
      <c r="X123" s="1099"/>
      <c r="Y123" s="1122"/>
      <c r="Z123" s="1125"/>
      <c r="AA123" s="987"/>
      <c r="AB123" s="1046"/>
      <c r="AC123" s="1040"/>
      <c r="AD123" s="4" t="s">
        <v>7</v>
      </c>
      <c r="AE123" s="1000" t="s">
        <v>5</v>
      </c>
    </row>
    <row r="124" spans="1:31" ht="9.75" customHeight="1">
      <c r="A124" s="64">
        <v>1</v>
      </c>
      <c r="B124" s="1024">
        <v>2</v>
      </c>
      <c r="C124" s="72">
        <v>3</v>
      </c>
      <c r="D124" s="276">
        <v>4</v>
      </c>
      <c r="E124" s="72">
        <v>5</v>
      </c>
      <c r="F124" s="1008">
        <v>6</v>
      </c>
      <c r="G124" s="72">
        <v>7</v>
      </c>
      <c r="H124" s="87">
        <v>7</v>
      </c>
      <c r="I124" s="276">
        <v>8</v>
      </c>
      <c r="J124" s="95">
        <v>10</v>
      </c>
      <c r="K124" s="96">
        <v>11</v>
      </c>
      <c r="L124" s="96">
        <v>12</v>
      </c>
      <c r="M124" s="96">
        <v>13</v>
      </c>
      <c r="N124" s="81">
        <v>14</v>
      </c>
      <c r="O124" s="82">
        <v>15</v>
      </c>
      <c r="P124" s="328"/>
      <c r="Q124" s="80">
        <v>16</v>
      </c>
      <c r="R124" s="81">
        <v>17</v>
      </c>
      <c r="S124" s="276">
        <v>18</v>
      </c>
      <c r="T124" s="95">
        <v>19</v>
      </c>
      <c r="U124" s="80">
        <v>20</v>
      </c>
      <c r="V124" s="98">
        <v>21</v>
      </c>
      <c r="W124" s="262">
        <v>22</v>
      </c>
      <c r="X124" s="276">
        <v>23</v>
      </c>
      <c r="Y124" s="95">
        <v>24</v>
      </c>
      <c r="Z124" s="96">
        <v>25</v>
      </c>
      <c r="AA124" s="81">
        <v>25</v>
      </c>
      <c r="AB124" s="96">
        <v>26</v>
      </c>
      <c r="AC124" s="846">
        <v>27</v>
      </c>
      <c r="AD124" s="86">
        <v>28</v>
      </c>
      <c r="AE124" s="1008">
        <v>29</v>
      </c>
    </row>
    <row r="125" spans="1:31" ht="15.75">
      <c r="A125" s="16" t="s">
        <v>18</v>
      </c>
      <c r="B125" s="1029">
        <v>100</v>
      </c>
      <c r="C125" s="73"/>
      <c r="D125" s="89">
        <f>F125</f>
        <v>100</v>
      </c>
      <c r="E125" s="99">
        <f>B125</f>
        <v>100</v>
      </c>
      <c r="F125" s="222">
        <v>100</v>
      </c>
      <c r="G125" s="99">
        <f>B125</f>
        <v>100</v>
      </c>
      <c r="H125" s="275"/>
      <c r="I125" s="89">
        <f>F125</f>
        <v>100</v>
      </c>
      <c r="J125" s="99">
        <f>B125</f>
        <v>100</v>
      </c>
      <c r="K125" s="99">
        <f>B125</f>
        <v>100</v>
      </c>
      <c r="L125" s="99">
        <f>B125</f>
        <v>100</v>
      </c>
      <c r="M125" s="99">
        <f>B125</f>
        <v>100</v>
      </c>
      <c r="N125" s="99">
        <f>B125</f>
        <v>100</v>
      </c>
      <c r="O125" s="845">
        <f>B125</f>
        <v>100</v>
      </c>
      <c r="P125" s="1028">
        <f>B125</f>
        <v>100</v>
      </c>
      <c r="Q125" s="99">
        <f>B125</f>
        <v>100</v>
      </c>
      <c r="R125" s="550">
        <f>B125</f>
        <v>100</v>
      </c>
      <c r="S125" s="109">
        <f>F125</f>
        <v>100</v>
      </c>
      <c r="T125" s="551">
        <f>B125</f>
        <v>100</v>
      </c>
      <c r="U125" s="471">
        <f>B125</f>
        <v>100</v>
      </c>
      <c r="V125" s="471">
        <f>G125</f>
        <v>100</v>
      </c>
      <c r="W125" s="99">
        <f>B125</f>
        <v>100</v>
      </c>
      <c r="X125" s="109">
        <f>F125</f>
        <v>100</v>
      </c>
      <c r="Y125" s="99">
        <f>B125</f>
        <v>100</v>
      </c>
      <c r="Z125" s="99">
        <f>B125</f>
        <v>100</v>
      </c>
      <c r="AA125" s="99"/>
      <c r="AB125" s="99">
        <f>B125</f>
        <v>100</v>
      </c>
      <c r="AC125" s="99">
        <f>B125</f>
        <v>100</v>
      </c>
      <c r="AD125" s="12" t="s">
        <v>66</v>
      </c>
      <c r="AE125" s="68" t="s">
        <v>64</v>
      </c>
    </row>
    <row r="126" spans="1:31" ht="16.5" thickBot="1">
      <c r="A126" s="59" t="s">
        <v>19</v>
      </c>
      <c r="B126" s="60"/>
      <c r="C126" s="74"/>
      <c r="D126" s="91">
        <v>35</v>
      </c>
      <c r="E126" s="119">
        <f>D126*D125/B125</f>
        <v>35</v>
      </c>
      <c r="F126" s="91">
        <v>150</v>
      </c>
      <c r="G126" s="119">
        <f>F126*F125/B125</f>
        <v>150</v>
      </c>
      <c r="H126" s="433"/>
      <c r="I126" s="91">
        <v>153.5</v>
      </c>
      <c r="J126" s="119">
        <f>I126*I125/B125</f>
        <v>153.5</v>
      </c>
      <c r="K126" s="119">
        <f>K172/B125*1000</f>
        <v>10</v>
      </c>
      <c r="L126" s="119">
        <f>L152/B125*1000</f>
        <v>150</v>
      </c>
      <c r="M126" s="119">
        <f>M146/B125*1000</f>
        <v>20</v>
      </c>
      <c r="N126" s="119">
        <v>30</v>
      </c>
      <c r="O126" s="830">
        <v>180</v>
      </c>
      <c r="P126" s="901">
        <f>P180/B125/0.00177</f>
        <v>10</v>
      </c>
      <c r="Q126" s="119">
        <f>Q136/B125*1000</f>
        <v>10</v>
      </c>
      <c r="R126" s="119">
        <v>30</v>
      </c>
      <c r="S126" s="111">
        <v>60</v>
      </c>
      <c r="T126" s="552">
        <f>S126*F125/B125</f>
        <v>60</v>
      </c>
      <c r="U126" s="279">
        <v>110</v>
      </c>
      <c r="V126" s="279">
        <v>150</v>
      </c>
      <c r="W126" s="119">
        <f>W174/B125*1000</f>
        <v>30</v>
      </c>
      <c r="X126" s="511">
        <v>80</v>
      </c>
      <c r="Y126" s="119">
        <f>X126*F125/B125</f>
        <v>80</v>
      </c>
      <c r="Z126" s="100">
        <v>20</v>
      </c>
      <c r="AA126" s="100"/>
      <c r="AB126" s="119">
        <f>AB134/B125/1.05*1000</f>
        <v>150.47619047619045</v>
      </c>
      <c r="AC126" s="119">
        <f>AC176/B125*1000</f>
        <v>10</v>
      </c>
      <c r="AD126" s="61"/>
      <c r="AE126" s="69"/>
    </row>
    <row r="127" spans="1:31" ht="15" customHeight="1" thickTop="1">
      <c r="A127" s="133"/>
      <c r="B127" s="5" t="s">
        <v>65</v>
      </c>
      <c r="C127" s="77" t="s">
        <v>72</v>
      </c>
      <c r="D127" s="287"/>
      <c r="E127" s="88"/>
      <c r="F127" s="92"/>
      <c r="G127" s="88"/>
      <c r="H127" s="456"/>
      <c r="I127" s="108"/>
      <c r="J127" s="88"/>
      <c r="K127" s="88"/>
      <c r="L127" s="88"/>
      <c r="M127" s="88"/>
      <c r="N127" s="88"/>
      <c r="O127" s="263"/>
      <c r="P127" s="214"/>
      <c r="Q127" s="509"/>
      <c r="R127" s="826"/>
      <c r="S127" s="177">
        <f>36/60*S126</f>
        <v>36</v>
      </c>
      <c r="T127" s="256">
        <f>S127/S126*T126</f>
        <v>36</v>
      </c>
      <c r="U127" s="88"/>
      <c r="V127" s="129"/>
      <c r="W127" s="129"/>
      <c r="X127" s="555"/>
      <c r="Y127" s="88"/>
      <c r="Z127" s="88"/>
      <c r="AA127" s="88"/>
      <c r="AB127" s="88"/>
      <c r="AC127" s="88"/>
      <c r="AD127" s="78"/>
      <c r="AE127" s="79"/>
    </row>
    <row r="128" spans="1:31" ht="15.75" customHeight="1" thickBot="1">
      <c r="A128" s="346" t="str">
        <f>A28</f>
        <v>Печень гов. мор.</v>
      </c>
      <c r="B128" s="347">
        <f>B28</f>
        <v>267.8</v>
      </c>
      <c r="C128" s="348" t="s">
        <v>73</v>
      </c>
      <c r="D128" s="385"/>
      <c r="E128" s="350"/>
      <c r="F128" s="363"/>
      <c r="G128" s="350"/>
      <c r="H128" s="420"/>
      <c r="I128" s="349"/>
      <c r="J128" s="350"/>
      <c r="K128" s="350"/>
      <c r="L128" s="350"/>
      <c r="M128" s="350"/>
      <c r="N128" s="350"/>
      <c r="O128" s="360"/>
      <c r="P128" s="905"/>
      <c r="Q128" s="501"/>
      <c r="R128" s="341"/>
      <c r="S128" s="349">
        <f>S127*F125/1000</f>
        <v>3.6</v>
      </c>
      <c r="T128" s="339">
        <f>S128</f>
        <v>3.6</v>
      </c>
      <c r="U128" s="350"/>
      <c r="V128" s="341"/>
      <c r="W128" s="341"/>
      <c r="X128" s="556"/>
      <c r="Y128" s="340"/>
      <c r="Z128" s="350"/>
      <c r="AA128" s="350"/>
      <c r="AB128" s="350"/>
      <c r="AC128" s="350"/>
      <c r="AD128" s="399">
        <f>ROUND(E128+G128+H128+J128+K128+L128+O128+R128+T128+U128+V128+W128+Y128+Z128+AB128+AC128,2)</f>
        <v>3.6</v>
      </c>
      <c r="AE128" s="368">
        <f>AD128*B128</f>
        <v>964.08</v>
      </c>
    </row>
    <row r="129" spans="1:31" ht="15.75" customHeight="1" thickTop="1">
      <c r="A129" s="133"/>
      <c r="B129" s="215"/>
      <c r="C129" s="77" t="s">
        <v>72</v>
      </c>
      <c r="D129" s="90">
        <v>5</v>
      </c>
      <c r="E129" s="129">
        <f>D129/D126*E126</f>
        <v>5</v>
      </c>
      <c r="F129" s="90">
        <v>3</v>
      </c>
      <c r="G129" s="129">
        <f>F129/F126*G126</f>
        <v>3</v>
      </c>
      <c r="H129" s="457"/>
      <c r="I129" s="108"/>
      <c r="J129" s="88"/>
      <c r="K129" s="88"/>
      <c r="L129" s="88"/>
      <c r="M129" s="88"/>
      <c r="N129" s="88"/>
      <c r="O129" s="264"/>
      <c r="P129" s="904"/>
      <c r="Q129" s="131"/>
      <c r="R129" s="131">
        <v>1.7</v>
      </c>
      <c r="S129" s="177">
        <f>1/60*S126</f>
        <v>1</v>
      </c>
      <c r="T129" s="256">
        <f>S129/S128*T128</f>
        <v>1</v>
      </c>
      <c r="U129" s="131">
        <v>2.2000000000000002</v>
      </c>
      <c r="V129" s="129"/>
      <c r="W129" s="129"/>
      <c r="X129" s="177">
        <f>3.2/80*X126</f>
        <v>3.2</v>
      </c>
      <c r="Y129" s="256">
        <f>X129/X126*Y126</f>
        <v>3.2</v>
      </c>
      <c r="Z129" s="129">
        <v>0.9</v>
      </c>
      <c r="AA129" s="88"/>
      <c r="AB129" s="88"/>
      <c r="AC129" s="88"/>
      <c r="AD129" s="263"/>
      <c r="AE129" s="123"/>
    </row>
    <row r="130" spans="1:31" ht="15.75" customHeight="1" thickBot="1">
      <c r="A130" s="346" t="str">
        <f>A30</f>
        <v>Масло слив.</v>
      </c>
      <c r="B130" s="347">
        <f>B30</f>
        <v>595</v>
      </c>
      <c r="C130" s="348" t="s">
        <v>73</v>
      </c>
      <c r="D130" s="363">
        <f>ROUND(D129*F125/1000,2)</f>
        <v>0.5</v>
      </c>
      <c r="E130" s="341">
        <f>D130</f>
        <v>0.5</v>
      </c>
      <c r="F130" s="363">
        <f>F129*F125/1000</f>
        <v>0.3</v>
      </c>
      <c r="G130" s="341">
        <f>ROUND(F130,2)</f>
        <v>0.3</v>
      </c>
      <c r="H130" s="372"/>
      <c r="I130" s="349"/>
      <c r="J130" s="350"/>
      <c r="K130" s="350"/>
      <c r="L130" s="350"/>
      <c r="M130" s="420"/>
      <c r="N130" s="350"/>
      <c r="O130" s="361">
        <f>O129*B125/1000</f>
        <v>0</v>
      </c>
      <c r="P130" s="906"/>
      <c r="Q130" s="350"/>
      <c r="R130" s="341">
        <f>ROUND(R129*B125/1000,2)</f>
        <v>0.17</v>
      </c>
      <c r="S130" s="349">
        <f>S129*F125/1000</f>
        <v>0.1</v>
      </c>
      <c r="T130" s="339">
        <f>S130</f>
        <v>0.1</v>
      </c>
      <c r="U130" s="341">
        <f>ROUND(U129*B125/1000,2)</f>
        <v>0.22</v>
      </c>
      <c r="V130" s="341"/>
      <c r="W130" s="341"/>
      <c r="X130" s="349">
        <f>X129*F125/1000</f>
        <v>0.32</v>
      </c>
      <c r="Y130" s="339">
        <f>ROUND(X130,2)</f>
        <v>0.32</v>
      </c>
      <c r="Z130" s="341">
        <f>Z129*B125/1000</f>
        <v>0.09</v>
      </c>
      <c r="AA130" s="350"/>
      <c r="AB130" s="350"/>
      <c r="AC130" s="350"/>
      <c r="AD130" s="399">
        <f>ROUND(E130+G130+H130+J130+K130+L130+O130+R130+T130+U130+V130+W130+Y130+Z130+AB130+AC130,2)</f>
        <v>1.7</v>
      </c>
      <c r="AE130" s="344">
        <f>AD130*B130</f>
        <v>1011.5</v>
      </c>
    </row>
    <row r="131" spans="1:31" ht="15.75" customHeight="1" thickTop="1">
      <c r="A131" s="133"/>
      <c r="B131" s="213"/>
      <c r="C131" s="427" t="s">
        <v>72</v>
      </c>
      <c r="D131" s="296"/>
      <c r="E131" s="88"/>
      <c r="F131" s="90"/>
      <c r="G131" s="88"/>
      <c r="H131" s="280"/>
      <c r="I131" s="108"/>
      <c r="J131" s="88"/>
      <c r="K131" s="88"/>
      <c r="L131" s="88"/>
      <c r="M131" s="280"/>
      <c r="N131" s="411">
        <v>1.8</v>
      </c>
      <c r="O131" s="264">
        <v>3.6</v>
      </c>
      <c r="P131" s="904"/>
      <c r="Q131" s="131"/>
      <c r="R131" s="88"/>
      <c r="S131" s="177">
        <f>3.7/60*S126</f>
        <v>3.7</v>
      </c>
      <c r="T131" s="256">
        <f>S131/S126*T126</f>
        <v>3.7</v>
      </c>
      <c r="U131" s="131"/>
      <c r="V131" s="129"/>
      <c r="W131" s="129"/>
      <c r="X131" s="555"/>
      <c r="Y131" s="131"/>
      <c r="Z131" s="131"/>
      <c r="AA131" s="131"/>
      <c r="AB131" s="88"/>
      <c r="AC131" s="88"/>
      <c r="AD131" s="263"/>
      <c r="AE131" s="123"/>
    </row>
    <row r="132" spans="1:31" ht="15.75" customHeight="1" thickBot="1">
      <c r="A132" s="346" t="str">
        <f>A32</f>
        <v>Масло раст.</v>
      </c>
      <c r="B132" s="347">
        <f>B32</f>
        <v>104.42</v>
      </c>
      <c r="C132" s="348" t="s">
        <v>73</v>
      </c>
      <c r="D132" s="382"/>
      <c r="E132" s="350"/>
      <c r="F132" s="363"/>
      <c r="G132" s="350"/>
      <c r="H132" s="420"/>
      <c r="I132" s="349"/>
      <c r="J132" s="350"/>
      <c r="K132" s="350"/>
      <c r="L132" s="350"/>
      <c r="M132" s="420"/>
      <c r="N132" s="376">
        <f>N131*B125/1000</f>
        <v>0.18</v>
      </c>
      <c r="O132" s="361">
        <f>O131*B125/1000</f>
        <v>0.36</v>
      </c>
      <c r="P132" s="906"/>
      <c r="Q132" s="341"/>
      <c r="R132" s="341"/>
      <c r="S132" s="363">
        <f>S131*F125/1000</f>
        <v>0.37</v>
      </c>
      <c r="T132" s="339">
        <f>S132</f>
        <v>0.37</v>
      </c>
      <c r="U132" s="350"/>
      <c r="V132" s="350"/>
      <c r="W132" s="350"/>
      <c r="X132" s="556"/>
      <c r="Y132" s="350"/>
      <c r="Z132" s="341"/>
      <c r="AA132" s="341"/>
      <c r="AB132" s="350"/>
      <c r="AC132" s="350"/>
      <c r="AD132" s="399">
        <f>ROUND(E132+G132+H132+J132+K132+L132+N132+O132+R132+T132+U132+V132+W132+Y132+Z132+AB132+AC132,2)</f>
        <v>0.91</v>
      </c>
      <c r="AE132" s="344">
        <f>AD132*B132</f>
        <v>95.022199999999998</v>
      </c>
    </row>
    <row r="133" spans="1:31" ht="15.75" customHeight="1" thickTop="1">
      <c r="A133" s="133"/>
      <c r="B133" s="213"/>
      <c r="C133" s="427" t="s">
        <v>72</v>
      </c>
      <c r="D133" s="296"/>
      <c r="E133" s="88"/>
      <c r="F133" s="90">
        <v>132</v>
      </c>
      <c r="G133" s="129">
        <f>F133/F126*G126</f>
        <v>132</v>
      </c>
      <c r="H133" s="457"/>
      <c r="I133" s="108"/>
      <c r="J133" s="129"/>
      <c r="K133" s="88"/>
      <c r="L133" s="88"/>
      <c r="M133" s="88"/>
      <c r="N133" s="88"/>
      <c r="O133" s="263"/>
      <c r="P133" s="214"/>
      <c r="Q133" s="131"/>
      <c r="R133" s="131">
        <v>15</v>
      </c>
      <c r="S133" s="177"/>
      <c r="T133" s="256"/>
      <c r="U133" s="131">
        <v>33</v>
      </c>
      <c r="V133" s="129"/>
      <c r="W133" s="129"/>
      <c r="X133" s="177"/>
      <c r="Y133" s="629">
        <f>X133/X126*Y126</f>
        <v>0</v>
      </c>
      <c r="Z133" s="131">
        <v>10</v>
      </c>
      <c r="AA133" s="88"/>
      <c r="AB133" s="114">
        <f>AB134/E125*1000</f>
        <v>158</v>
      </c>
      <c r="AC133" s="88"/>
      <c r="AD133" s="263"/>
      <c r="AE133" s="123"/>
    </row>
    <row r="134" spans="1:31" ht="15.75" customHeight="1" thickBot="1">
      <c r="A134" s="346" t="str">
        <f>A34</f>
        <v>Молоко св.</v>
      </c>
      <c r="B134" s="347">
        <f>B34</f>
        <v>67.8</v>
      </c>
      <c r="C134" s="348" t="s">
        <v>73</v>
      </c>
      <c r="D134" s="382"/>
      <c r="E134" s="350"/>
      <c r="F134" s="363">
        <f>F133*F125/1000</f>
        <v>13.2</v>
      </c>
      <c r="G134" s="365">
        <f>F134</f>
        <v>13.2</v>
      </c>
      <c r="H134" s="564"/>
      <c r="I134" s="349"/>
      <c r="J134" s="421"/>
      <c r="K134" s="350"/>
      <c r="L134" s="350"/>
      <c r="M134" s="350"/>
      <c r="N134" s="350"/>
      <c r="O134" s="360"/>
      <c r="P134" s="905"/>
      <c r="Q134" s="350"/>
      <c r="R134" s="786">
        <f>ROUND(R133*B125/1000,2)</f>
        <v>1.5</v>
      </c>
      <c r="S134" s="349"/>
      <c r="T134" s="340"/>
      <c r="U134" s="365">
        <f>ROUND(U133*B125/1000,2)</f>
        <v>3.3</v>
      </c>
      <c r="V134" s="350"/>
      <c r="W134" s="350"/>
      <c r="X134" s="349">
        <f>X133*X125/1000</f>
        <v>0</v>
      </c>
      <c r="Y134" s="814">
        <f>X134</f>
        <v>0</v>
      </c>
      <c r="Z134" s="365">
        <f>ROUND(Z133*Z125/1000,2)</f>
        <v>1</v>
      </c>
      <c r="AA134" s="350"/>
      <c r="AB134" s="814">
        <v>15.8</v>
      </c>
      <c r="AC134" s="350"/>
      <c r="AD134" s="399">
        <f>ROUND(E134+G134+H134+J134+K134+L134+O134+R134+T134+U134+V134+W134+Y134+Z134+AB134+AC134,2)</f>
        <v>34.799999999999997</v>
      </c>
      <c r="AE134" s="344">
        <f>AD134*B134</f>
        <v>2359.4399999999996</v>
      </c>
    </row>
    <row r="135" spans="1:31" ht="15.75" customHeight="1" thickTop="1">
      <c r="A135" s="133"/>
      <c r="B135" s="213"/>
      <c r="C135" s="427" t="s">
        <v>72</v>
      </c>
      <c r="D135" s="108"/>
      <c r="E135" s="129">
        <f>D135/D126*E126</f>
        <v>0</v>
      </c>
      <c r="F135" s="90"/>
      <c r="G135" s="88"/>
      <c r="H135" s="280"/>
      <c r="I135" s="108"/>
      <c r="J135" s="88"/>
      <c r="K135" s="88"/>
      <c r="L135" s="88"/>
      <c r="M135" s="88"/>
      <c r="N135" s="88"/>
      <c r="O135" s="263"/>
      <c r="P135" s="214"/>
      <c r="Q135" s="979">
        <f>Q136/B125*1000</f>
        <v>10</v>
      </c>
      <c r="R135" s="254"/>
      <c r="S135" s="177"/>
      <c r="T135" s="256"/>
      <c r="U135" s="88"/>
      <c r="V135" s="88"/>
      <c r="W135" s="88"/>
      <c r="X135" s="177">
        <f>3.2/80*X126</f>
        <v>3.2</v>
      </c>
      <c r="Y135" s="256">
        <f>X135/X126*Y126</f>
        <v>3.2</v>
      </c>
      <c r="Z135" s="88"/>
      <c r="AA135" s="88"/>
      <c r="AB135" s="88"/>
      <c r="AC135" s="88"/>
      <c r="AD135" s="263"/>
      <c r="AE135" s="123"/>
    </row>
    <row r="136" spans="1:31" ht="15.75" customHeight="1" thickBot="1">
      <c r="A136" s="346" t="str">
        <f>A36</f>
        <v>Сметана</v>
      </c>
      <c r="B136" s="347">
        <f>B36</f>
        <v>227</v>
      </c>
      <c r="C136" s="348" t="s">
        <v>73</v>
      </c>
      <c r="D136" s="349">
        <f>D135*F125/1000</f>
        <v>0</v>
      </c>
      <c r="E136" s="341">
        <f>D136</f>
        <v>0</v>
      </c>
      <c r="F136" s="363"/>
      <c r="G136" s="350"/>
      <c r="H136" s="420"/>
      <c r="I136" s="349"/>
      <c r="J136" s="350"/>
      <c r="K136" s="340"/>
      <c r="L136" s="350"/>
      <c r="M136" s="350"/>
      <c r="N136" s="350"/>
      <c r="O136" s="360"/>
      <c r="P136" s="905"/>
      <c r="Q136" s="341">
        <v>1</v>
      </c>
      <c r="R136" s="350"/>
      <c r="S136" s="349"/>
      <c r="T136" s="340"/>
      <c r="U136" s="350"/>
      <c r="V136" s="350"/>
      <c r="W136" s="350"/>
      <c r="X136" s="349">
        <f>X135*F125/1000</f>
        <v>0.32</v>
      </c>
      <c r="Y136" s="339">
        <f>ROUND(X136,2)</f>
        <v>0.32</v>
      </c>
      <c r="Z136" s="350"/>
      <c r="AA136" s="350"/>
      <c r="AB136" s="350"/>
      <c r="AC136" s="350"/>
      <c r="AD136" s="399">
        <f>ROUND(E136+G136+H136+J136+K136+L136+O136+R136+T136+U136+V136+W136+Y136+Z136+AB136+AC136,2)</f>
        <v>0.32</v>
      </c>
      <c r="AE136" s="344">
        <f>AD136*B136</f>
        <v>72.64</v>
      </c>
    </row>
    <row r="137" spans="1:31" ht="15.75" customHeight="1" thickTop="1">
      <c r="A137" s="133"/>
      <c r="B137" s="215"/>
      <c r="C137" s="77" t="s">
        <v>72</v>
      </c>
      <c r="D137" s="305"/>
      <c r="E137" s="88"/>
      <c r="F137" s="430"/>
      <c r="G137" s="129">
        <f>F137/F126*G126</f>
        <v>0</v>
      </c>
      <c r="H137" s="457"/>
      <c r="I137" s="108"/>
      <c r="J137" s="88"/>
      <c r="K137" s="88"/>
      <c r="L137" s="88"/>
      <c r="M137" s="88"/>
      <c r="N137" s="88"/>
      <c r="O137" s="263"/>
      <c r="P137" s="214"/>
      <c r="Q137" s="509"/>
      <c r="R137" s="827"/>
      <c r="S137" s="500">
        <f>5/60*S126</f>
        <v>5</v>
      </c>
      <c r="T137" s="129">
        <f>S137/S126*T126</f>
        <v>5</v>
      </c>
      <c r="U137" s="88"/>
      <c r="V137" s="129"/>
      <c r="W137" s="129"/>
      <c r="X137" s="177">
        <f>3.2/80*X126</f>
        <v>3.2</v>
      </c>
      <c r="Y137" s="256">
        <f>X137/X126*Y126</f>
        <v>3.2</v>
      </c>
      <c r="Z137" s="88"/>
      <c r="AA137" s="88"/>
      <c r="AB137" s="88"/>
      <c r="AC137" s="88"/>
      <c r="AD137" s="263"/>
      <c r="AE137" s="123"/>
    </row>
    <row r="138" spans="1:31" ht="15.75" customHeight="1" thickBot="1">
      <c r="A138" s="346" t="str">
        <f>A38</f>
        <v>Яйцо</v>
      </c>
      <c r="B138" s="347">
        <f>B38</f>
        <v>10</v>
      </c>
      <c r="C138" s="348" t="s">
        <v>74</v>
      </c>
      <c r="D138" s="385"/>
      <c r="E138" s="350"/>
      <c r="F138" s="532">
        <f>F137*F125/1000/0.048</f>
        <v>0</v>
      </c>
      <c r="G138" s="386">
        <f>F138</f>
        <v>0</v>
      </c>
      <c r="H138" s="533"/>
      <c r="I138" s="531"/>
      <c r="J138" s="386"/>
      <c r="K138" s="386"/>
      <c r="L138" s="386"/>
      <c r="M138" s="386"/>
      <c r="N138" s="386"/>
      <c r="O138" s="832"/>
      <c r="P138" s="915"/>
      <c r="Q138" s="831"/>
      <c r="R138" s="470"/>
      <c r="S138" s="530">
        <f>ROUND(S137*S125/48,0)</f>
        <v>10</v>
      </c>
      <c r="T138" s="470">
        <f>S138</f>
        <v>10</v>
      </c>
      <c r="U138" s="386"/>
      <c r="V138" s="470"/>
      <c r="W138" s="470"/>
      <c r="X138" s="531">
        <f>ROUND(X137*F125/1000/0.048,0)</f>
        <v>7</v>
      </c>
      <c r="Y138" s="596">
        <f>X138</f>
        <v>7</v>
      </c>
      <c r="Z138" s="386"/>
      <c r="AA138" s="386"/>
      <c r="AB138" s="350"/>
      <c r="AC138" s="350"/>
      <c r="AD138" s="473">
        <f>ROUND(E138+G138+H138+J138+K138+L138+O138+R138+T138+U138+V138+W138+Y138+Z138+AB138+AC138,0)</f>
        <v>17</v>
      </c>
      <c r="AE138" s="344">
        <f>AD138*B138</f>
        <v>170</v>
      </c>
    </row>
    <row r="139" spans="1:31" ht="15.75" customHeight="1" thickTop="1">
      <c r="A139" s="133"/>
      <c r="B139" s="213"/>
      <c r="C139" s="427" t="s">
        <v>72</v>
      </c>
      <c r="D139" s="287"/>
      <c r="E139" s="88"/>
      <c r="F139" s="90">
        <v>11.5</v>
      </c>
      <c r="G139" s="129">
        <f>F139/F126*G126</f>
        <v>11.5</v>
      </c>
      <c r="H139" s="280"/>
      <c r="I139" s="108"/>
      <c r="J139" s="88"/>
      <c r="K139" s="88"/>
      <c r="L139" s="88"/>
      <c r="M139" s="88"/>
      <c r="N139" s="88"/>
      <c r="O139" s="263"/>
      <c r="P139" s="214"/>
      <c r="Q139" s="254"/>
      <c r="R139" s="254"/>
      <c r="S139" s="177"/>
      <c r="T139" s="244"/>
      <c r="U139" s="88"/>
      <c r="V139" s="88"/>
      <c r="W139" s="88"/>
      <c r="X139" s="555"/>
      <c r="Y139" s="828"/>
      <c r="Z139" s="88"/>
      <c r="AA139" s="88"/>
      <c r="AB139" s="88"/>
      <c r="AC139" s="88"/>
      <c r="AD139" s="263"/>
      <c r="AE139" s="123"/>
    </row>
    <row r="140" spans="1:31" ht="15.75" customHeight="1" thickBot="1">
      <c r="A140" s="346" t="str">
        <f>A40</f>
        <v>Пшено</v>
      </c>
      <c r="B140" s="347">
        <f>B40</f>
        <v>40.08</v>
      </c>
      <c r="C140" s="348" t="s">
        <v>73</v>
      </c>
      <c r="D140" s="385"/>
      <c r="E140" s="341"/>
      <c r="F140" s="363">
        <f>F139*F125/1000</f>
        <v>1.1499999999999999</v>
      </c>
      <c r="G140" s="341">
        <f>F140</f>
        <v>1.1499999999999999</v>
      </c>
      <c r="H140" s="420"/>
      <c r="I140" s="349"/>
      <c r="J140" s="350"/>
      <c r="K140" s="340"/>
      <c r="L140" s="350"/>
      <c r="M140" s="350"/>
      <c r="N140" s="350"/>
      <c r="O140" s="360"/>
      <c r="P140" s="905"/>
      <c r="Q140" s="350"/>
      <c r="R140" s="350"/>
      <c r="S140" s="363"/>
      <c r="T140" s="340"/>
      <c r="U140" s="350"/>
      <c r="V140" s="350"/>
      <c r="W140" s="350"/>
      <c r="X140" s="556"/>
      <c r="Y140" s="340"/>
      <c r="Z140" s="350"/>
      <c r="AA140" s="350"/>
      <c r="AB140" s="350"/>
      <c r="AC140" s="350"/>
      <c r="AD140" s="399">
        <f>ROUND(E140+G140+H140+J140+K140+L140+O140+R140+T140+U140+V140+W140+Y140+Z140+AB140+AC140,2)</f>
        <v>1.1499999999999999</v>
      </c>
      <c r="AE140" s="344">
        <f>AD140*B140</f>
        <v>46.091999999999992</v>
      </c>
    </row>
    <row r="141" spans="1:31" ht="13.5" customHeight="1" thickTop="1">
      <c r="A141" s="133"/>
      <c r="B141" s="213"/>
      <c r="C141" s="427" t="s">
        <v>72</v>
      </c>
      <c r="D141" s="287"/>
      <c r="E141" s="88"/>
      <c r="F141" s="90">
        <v>15</v>
      </c>
      <c r="G141" s="129">
        <f>F141/F126*G126</f>
        <v>15</v>
      </c>
      <c r="H141" s="280"/>
      <c r="I141" s="108"/>
      <c r="J141" s="88"/>
      <c r="K141" s="88"/>
      <c r="L141" s="88"/>
      <c r="M141" s="88"/>
      <c r="N141" s="88"/>
      <c r="O141" s="426"/>
      <c r="P141" s="214"/>
      <c r="Q141" s="131"/>
      <c r="R141" s="131"/>
      <c r="S141" s="177">
        <f>9/60*S126</f>
        <v>9</v>
      </c>
      <c r="T141" s="256">
        <f>S141/S126*T126</f>
        <v>9</v>
      </c>
      <c r="U141" s="131"/>
      <c r="V141" s="129"/>
      <c r="W141" s="129"/>
      <c r="X141" s="177"/>
      <c r="Y141" s="256"/>
      <c r="Z141" s="88"/>
      <c r="AA141" s="88"/>
      <c r="AB141" s="88"/>
      <c r="AC141" s="88"/>
      <c r="AD141" s="263"/>
      <c r="AE141" s="123"/>
    </row>
    <row r="142" spans="1:31" ht="15.75" customHeight="1" thickBot="1">
      <c r="A142" s="346" t="str">
        <f>A42</f>
        <v>Рис</v>
      </c>
      <c r="B142" s="347">
        <f>B42</f>
        <v>81.92</v>
      </c>
      <c r="C142" s="348" t="s">
        <v>73</v>
      </c>
      <c r="D142" s="385"/>
      <c r="E142" s="350"/>
      <c r="F142" s="363">
        <f>F141*F125/1000</f>
        <v>1.5</v>
      </c>
      <c r="G142" s="341">
        <f>F142</f>
        <v>1.5</v>
      </c>
      <c r="H142" s="420"/>
      <c r="I142" s="349"/>
      <c r="J142" s="350"/>
      <c r="K142" s="350"/>
      <c r="L142" s="350"/>
      <c r="M142" s="350"/>
      <c r="N142" s="350"/>
      <c r="O142" s="361"/>
      <c r="P142" s="906"/>
      <c r="Q142" s="350"/>
      <c r="R142" s="341"/>
      <c r="S142" s="349">
        <f>S141*F125/1000</f>
        <v>0.9</v>
      </c>
      <c r="T142" s="339">
        <f>S142</f>
        <v>0.9</v>
      </c>
      <c r="U142" s="350"/>
      <c r="V142" s="341"/>
      <c r="W142" s="341"/>
      <c r="X142" s="349"/>
      <c r="Y142" s="339"/>
      <c r="Z142" s="350"/>
      <c r="AA142" s="350"/>
      <c r="AB142" s="350"/>
      <c r="AC142" s="350"/>
      <c r="AD142" s="399">
        <f>ROUND(E142+G142+H142+J142+K142+L142+O142+R142+T142+U142+V142+W142+Y142+Z142+AB142+AC142,2)</f>
        <v>2.4</v>
      </c>
      <c r="AE142" s="344">
        <f>AD142*B142</f>
        <v>196.608</v>
      </c>
    </row>
    <row r="143" spans="1:31" ht="15.75" customHeight="1" thickTop="1">
      <c r="A143" s="133"/>
      <c r="B143" s="215"/>
      <c r="C143" s="77" t="s">
        <v>72</v>
      </c>
      <c r="D143" s="287"/>
      <c r="E143" s="88"/>
      <c r="F143" s="90"/>
      <c r="G143" s="129"/>
      <c r="H143" s="457"/>
      <c r="I143" s="108"/>
      <c r="J143" s="88"/>
      <c r="K143" s="88"/>
      <c r="L143" s="88"/>
      <c r="M143" s="88"/>
      <c r="N143" s="88"/>
      <c r="O143" s="263"/>
      <c r="P143" s="214"/>
      <c r="Q143" s="509"/>
      <c r="R143" s="129"/>
      <c r="S143" s="177"/>
      <c r="T143" s="256">
        <f>S143/S126*T126</f>
        <v>0</v>
      </c>
      <c r="U143" s="88"/>
      <c r="V143" s="129"/>
      <c r="W143" s="129"/>
      <c r="X143" s="177">
        <f>75/80*X126</f>
        <v>75</v>
      </c>
      <c r="Y143" s="256">
        <f>X143/X126*Y126</f>
        <v>75</v>
      </c>
      <c r="Z143" s="88"/>
      <c r="AA143" s="88"/>
      <c r="AB143" s="88"/>
      <c r="AC143" s="88"/>
      <c r="AD143" s="263"/>
      <c r="AE143" s="123"/>
    </row>
    <row r="144" spans="1:31" ht="15.75" customHeight="1" thickBot="1">
      <c r="A144" s="346" t="str">
        <f>A44</f>
        <v>Творог</v>
      </c>
      <c r="B144" s="347">
        <f>B44</f>
        <v>319.5</v>
      </c>
      <c r="C144" s="348" t="s">
        <v>73</v>
      </c>
      <c r="D144" s="385"/>
      <c r="E144" s="350"/>
      <c r="F144" s="363"/>
      <c r="G144" s="341"/>
      <c r="H144" s="372"/>
      <c r="I144" s="349"/>
      <c r="J144" s="350"/>
      <c r="K144" s="350"/>
      <c r="L144" s="350"/>
      <c r="M144" s="350"/>
      <c r="N144" s="350"/>
      <c r="O144" s="361"/>
      <c r="P144" s="906"/>
      <c r="Q144" s="501"/>
      <c r="R144" s="341"/>
      <c r="S144" s="349">
        <f>S143*F125/1000</f>
        <v>0</v>
      </c>
      <c r="T144" s="339">
        <f>S144</f>
        <v>0</v>
      </c>
      <c r="U144" s="350"/>
      <c r="V144" s="341"/>
      <c r="W144" s="341"/>
      <c r="X144" s="349">
        <f>X143*F125/1000</f>
        <v>7.5</v>
      </c>
      <c r="Y144" s="339">
        <f>ROUND(X144,2)</f>
        <v>7.5</v>
      </c>
      <c r="Z144" s="350"/>
      <c r="AA144" s="350"/>
      <c r="AB144" s="350"/>
      <c r="AC144" s="350"/>
      <c r="AD144" s="399">
        <f>ROUND(E144+G144+H144+J144+K144+L144+O144+R144+T144+U144+V144+W144+Y144+Z144+AB144+AC144,2)</f>
        <v>7.5</v>
      </c>
      <c r="AE144" s="344">
        <f>AD144*B144</f>
        <v>2396.25</v>
      </c>
    </row>
    <row r="145" spans="1:31" ht="15.75" customHeight="1" thickTop="1">
      <c r="A145" s="133"/>
      <c r="B145" s="213"/>
      <c r="C145" s="427" t="s">
        <v>72</v>
      </c>
      <c r="D145" s="287"/>
      <c r="E145" s="88"/>
      <c r="F145" s="90"/>
      <c r="G145" s="129"/>
      <c r="H145" s="457"/>
      <c r="I145" s="108"/>
      <c r="J145" s="88"/>
      <c r="K145" s="88"/>
      <c r="L145" s="88"/>
      <c r="M145" s="184">
        <f>M146/B125*1000</f>
        <v>20</v>
      </c>
      <c r="N145" s="88"/>
      <c r="O145" s="428"/>
      <c r="P145" s="916"/>
      <c r="Q145" s="254"/>
      <c r="R145" s="88"/>
      <c r="S145" s="177"/>
      <c r="T145" s="256"/>
      <c r="U145" s="88"/>
      <c r="V145" s="129"/>
      <c r="W145" s="129"/>
      <c r="X145" s="177"/>
      <c r="Y145" s="256"/>
      <c r="Z145" s="88"/>
      <c r="AA145" s="88"/>
      <c r="AB145" s="88"/>
      <c r="AC145" s="88"/>
      <c r="AD145" s="263"/>
      <c r="AE145" s="123"/>
    </row>
    <row r="146" spans="1:31" ht="15.75" customHeight="1" thickBot="1">
      <c r="A146" s="346" t="str">
        <f>A46</f>
        <v>Зефир</v>
      </c>
      <c r="B146" s="347">
        <f>B46</f>
        <v>230</v>
      </c>
      <c r="C146" s="348" t="s">
        <v>73</v>
      </c>
      <c r="D146" s="385"/>
      <c r="E146" s="350"/>
      <c r="F146" s="363"/>
      <c r="G146" s="341"/>
      <c r="H146" s="372"/>
      <c r="I146" s="349"/>
      <c r="J146" s="350"/>
      <c r="K146" s="350"/>
      <c r="L146" s="350"/>
      <c r="M146" s="590">
        <v>2</v>
      </c>
      <c r="N146" s="420"/>
      <c r="O146" s="361"/>
      <c r="P146" s="906"/>
      <c r="Q146" s="350"/>
      <c r="R146" s="350"/>
      <c r="S146" s="349"/>
      <c r="T146" s="340"/>
      <c r="U146" s="350"/>
      <c r="V146" s="350"/>
      <c r="W146" s="350"/>
      <c r="X146" s="349"/>
      <c r="Y146" s="340"/>
      <c r="Z146" s="350"/>
      <c r="AA146" s="350"/>
      <c r="AB146" s="350"/>
      <c r="AC146" s="350"/>
      <c r="AD146" s="399">
        <f>ROUND(E146+G146+H146+J146+K146+L146+M146+N146+O146+R146+T146+U146+V146+W146+Y146+Z146+AB146+AC146,2)</f>
        <v>2</v>
      </c>
      <c r="AE146" s="344">
        <f>AD146*B146</f>
        <v>460</v>
      </c>
    </row>
    <row r="147" spans="1:31" ht="15.75" customHeight="1" thickTop="1">
      <c r="A147" s="133"/>
      <c r="B147" s="213"/>
      <c r="C147" s="427" t="s">
        <v>72</v>
      </c>
      <c r="D147" s="287"/>
      <c r="E147" s="88"/>
      <c r="F147" s="90">
        <v>2</v>
      </c>
      <c r="G147" s="129">
        <f>F147/F126*G126</f>
        <v>2</v>
      </c>
      <c r="H147" s="457"/>
      <c r="I147" s="108">
        <v>6</v>
      </c>
      <c r="J147" s="129">
        <f>I147/I126*J126</f>
        <v>5.9999999999999991</v>
      </c>
      <c r="K147" s="88"/>
      <c r="L147" s="88"/>
      <c r="M147" s="88"/>
      <c r="N147" s="281"/>
      <c r="O147" s="263"/>
      <c r="P147" s="214"/>
      <c r="Q147" s="88"/>
      <c r="R147" s="444"/>
      <c r="S147" s="108"/>
      <c r="T147" s="828"/>
      <c r="U147" s="131"/>
      <c r="V147" s="131">
        <v>6</v>
      </c>
      <c r="W147" s="88"/>
      <c r="X147" s="177">
        <f>5/80*X126</f>
        <v>5</v>
      </c>
      <c r="Y147" s="256">
        <f>X147/X126*Y126</f>
        <v>5</v>
      </c>
      <c r="Z147" s="131">
        <v>1.6</v>
      </c>
      <c r="AA147" s="131"/>
      <c r="AB147" s="131"/>
      <c r="AC147" s="88"/>
      <c r="AD147" s="263"/>
      <c r="AE147" s="123"/>
    </row>
    <row r="148" spans="1:31" ht="15.75" customHeight="1" thickBot="1">
      <c r="A148" s="346" t="str">
        <f>A48</f>
        <v>Сахар</v>
      </c>
      <c r="B148" s="347">
        <f>B48</f>
        <v>62.77</v>
      </c>
      <c r="C148" s="348" t="s">
        <v>73</v>
      </c>
      <c r="D148" s="385"/>
      <c r="E148" s="350"/>
      <c r="F148" s="363">
        <f>F147*F125/1000</f>
        <v>0.2</v>
      </c>
      <c r="G148" s="341">
        <f>F148</f>
        <v>0.2</v>
      </c>
      <c r="H148" s="420"/>
      <c r="I148" s="349">
        <f>I147*I125/1000</f>
        <v>0.6</v>
      </c>
      <c r="J148" s="341">
        <f>ROUND(I148,2)</f>
        <v>0.6</v>
      </c>
      <c r="K148" s="350"/>
      <c r="L148" s="350"/>
      <c r="M148" s="350"/>
      <c r="N148" s="372"/>
      <c r="O148" s="360"/>
      <c r="P148" s="905"/>
      <c r="Q148" s="341"/>
      <c r="R148" s="341"/>
      <c r="S148" s="349"/>
      <c r="T148" s="340"/>
      <c r="U148" s="350"/>
      <c r="V148" s="341">
        <f>ROUND(V147*B125/1000,2)</f>
        <v>0.6</v>
      </c>
      <c r="W148" s="350"/>
      <c r="X148" s="349">
        <f>X147*F125/1000</f>
        <v>0.5</v>
      </c>
      <c r="Y148" s="339">
        <f>ROUND(X148,2)</f>
        <v>0.5</v>
      </c>
      <c r="Z148" s="341">
        <f>ROUND(Z147*B125/1000,2)</f>
        <v>0.16</v>
      </c>
      <c r="AA148" s="341"/>
      <c r="AB148" s="341"/>
      <c r="AC148" s="350"/>
      <c r="AD148" s="399">
        <f>ROUND(E148+G148+H148+J148+K148+L148+N148+O148+R148+T148+U148+V148+W148+Y148+Z148+AB148+AC148,2)</f>
        <v>2.06</v>
      </c>
      <c r="AE148" s="344">
        <f>AD148*B148</f>
        <v>129.30620000000002</v>
      </c>
    </row>
    <row r="149" spans="1:31" ht="12.75" customHeight="1" thickTop="1">
      <c r="A149" s="133"/>
      <c r="B149" s="215"/>
      <c r="C149" s="77" t="s">
        <v>72</v>
      </c>
      <c r="D149" s="287"/>
      <c r="E149" s="88"/>
      <c r="F149" s="90"/>
      <c r="G149" s="88"/>
      <c r="H149" s="280"/>
      <c r="I149" s="108"/>
      <c r="J149" s="88"/>
      <c r="K149" s="88"/>
      <c r="L149" s="88"/>
      <c r="M149" s="88"/>
      <c r="N149" s="88"/>
      <c r="O149" s="263"/>
      <c r="P149" s="214"/>
      <c r="Q149" s="88"/>
      <c r="R149" s="88"/>
      <c r="S149" s="108"/>
      <c r="T149" s="828"/>
      <c r="U149" s="131"/>
      <c r="V149" s="131">
        <v>18</v>
      </c>
      <c r="W149" s="88"/>
      <c r="X149" s="555"/>
      <c r="Y149" s="828"/>
      <c r="Z149" s="131"/>
      <c r="AA149" s="131"/>
      <c r="AB149" s="88"/>
      <c r="AC149" s="88"/>
      <c r="AD149" s="263"/>
      <c r="AE149" s="123"/>
    </row>
    <row r="150" spans="1:31" ht="15.75" customHeight="1" thickBot="1">
      <c r="A150" s="346" t="str">
        <f>A50</f>
        <v>Кисель конц.</v>
      </c>
      <c r="B150" s="347">
        <f>B50</f>
        <v>208</v>
      </c>
      <c r="C150" s="348" t="s">
        <v>73</v>
      </c>
      <c r="D150" s="385"/>
      <c r="E150" s="350"/>
      <c r="F150" s="363"/>
      <c r="G150" s="350"/>
      <c r="H150" s="420"/>
      <c r="I150" s="349"/>
      <c r="J150" s="350"/>
      <c r="K150" s="350"/>
      <c r="L150" s="350"/>
      <c r="M150" s="350"/>
      <c r="N150" s="350"/>
      <c r="O150" s="360"/>
      <c r="P150" s="905"/>
      <c r="Q150" s="350"/>
      <c r="R150" s="350"/>
      <c r="S150" s="349"/>
      <c r="T150" s="340"/>
      <c r="U150" s="341"/>
      <c r="V150" s="341">
        <f>V149*B125/1000</f>
        <v>1.8</v>
      </c>
      <c r="W150" s="350"/>
      <c r="X150" s="556"/>
      <c r="Y150" s="350"/>
      <c r="Z150" s="350"/>
      <c r="AA150" s="350"/>
      <c r="AB150" s="350"/>
      <c r="AC150" s="350"/>
      <c r="AD150" s="399">
        <f>ROUND(E150+G150+H150+J150+K150+L150+O150+R150+T150+U150+V150+W150+Y150+Z150+AB150+AC150,2)</f>
        <v>1.8</v>
      </c>
      <c r="AE150" s="344">
        <f>AD150*B150</f>
        <v>374.40000000000003</v>
      </c>
    </row>
    <row r="151" spans="1:31" ht="12" customHeight="1" thickTop="1">
      <c r="A151" s="141"/>
      <c r="B151" s="215"/>
      <c r="C151" s="77" t="s">
        <v>72</v>
      </c>
      <c r="D151" s="287"/>
      <c r="E151" s="104"/>
      <c r="F151" s="103"/>
      <c r="G151" s="104"/>
      <c r="H151" s="283"/>
      <c r="I151" s="108"/>
      <c r="J151" s="104"/>
      <c r="K151" s="104"/>
      <c r="L151" s="137">
        <f>L152/B125*1000</f>
        <v>150</v>
      </c>
      <c r="M151" s="184"/>
      <c r="N151" s="184"/>
      <c r="O151" s="265"/>
      <c r="P151" s="917"/>
      <c r="Q151" s="833"/>
      <c r="R151" s="104"/>
      <c r="S151" s="108"/>
      <c r="T151" s="829"/>
      <c r="U151" s="104"/>
      <c r="V151" s="104"/>
      <c r="W151" s="104"/>
      <c r="X151" s="557"/>
      <c r="Y151" s="104"/>
      <c r="Z151" s="104"/>
      <c r="AA151" s="104"/>
      <c r="AB151" s="104"/>
      <c r="AC151" s="104"/>
      <c r="AD151" s="263"/>
      <c r="AE151" s="123"/>
    </row>
    <row r="152" spans="1:31" ht="15.75" customHeight="1" thickBot="1">
      <c r="A152" s="346" t="str">
        <f>A52</f>
        <v>Сок</v>
      </c>
      <c r="B152" s="347">
        <v>54.9</v>
      </c>
      <c r="C152" s="348" t="s">
        <v>73</v>
      </c>
      <c r="D152" s="385"/>
      <c r="E152" s="350"/>
      <c r="F152" s="363"/>
      <c r="G152" s="350"/>
      <c r="H152" s="420"/>
      <c r="I152" s="349"/>
      <c r="J152" s="350"/>
      <c r="K152" s="350"/>
      <c r="L152" s="590">
        <v>15</v>
      </c>
      <c r="M152" s="341"/>
      <c r="N152" s="341"/>
      <c r="O152" s="360"/>
      <c r="P152" s="914"/>
      <c r="Q152" s="350"/>
      <c r="R152" s="350"/>
      <c r="S152" s="349"/>
      <c r="T152" s="340"/>
      <c r="U152" s="350"/>
      <c r="V152" s="350"/>
      <c r="W152" s="350"/>
      <c r="X152" s="556"/>
      <c r="Y152" s="350"/>
      <c r="Z152" s="350"/>
      <c r="AA152" s="350"/>
      <c r="AB152" s="350"/>
      <c r="AC152" s="350"/>
      <c r="AD152" s="399">
        <f>ROUND(E152+G152+H152+J152+K152+L152+O152+R152+T152+U152+V152+W152+Y152+Z152+AB152+AC152,2)</f>
        <v>15</v>
      </c>
      <c r="AE152" s="344">
        <f>AD152*B152</f>
        <v>823.5</v>
      </c>
    </row>
    <row r="153" spans="1:31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49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18" t="s">
        <v>71</v>
      </c>
    </row>
    <row r="154" spans="1:31">
      <c r="A154" s="26" t="s">
        <v>53</v>
      </c>
      <c r="B154" s="20"/>
      <c r="C154" s="65"/>
      <c r="D154" s="65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8" t="s">
        <v>41</v>
      </c>
      <c r="R154" s="28"/>
      <c r="S154" s="28"/>
      <c r="T154" s="14"/>
      <c r="U154" s="14"/>
      <c r="V154" s="14"/>
      <c r="W154" s="28" t="s">
        <v>11</v>
      </c>
      <c r="X154" s="28"/>
      <c r="Y154" s="14"/>
      <c r="Z154" s="14"/>
      <c r="AA154" s="14"/>
      <c r="AB154" s="14"/>
      <c r="AC154" s="22"/>
      <c r="AD154" s="1047" t="s">
        <v>8</v>
      </c>
      <c r="AE154" s="1048"/>
    </row>
    <row r="155" spans="1:31">
      <c r="A155" s="993"/>
      <c r="B155" s="19"/>
      <c r="C155" s="5" t="s">
        <v>52</v>
      </c>
      <c r="D155" s="991"/>
      <c r="E155" s="1052" t="str">
        <f>E119</f>
        <v>З А В Т Р А К</v>
      </c>
      <c r="F155" s="1052"/>
      <c r="G155" s="1052"/>
      <c r="H155" s="1052"/>
      <c r="I155" s="1052"/>
      <c r="J155" s="1052"/>
      <c r="K155" s="1053"/>
      <c r="L155" s="994" t="s">
        <v>69</v>
      </c>
      <c r="M155" s="995"/>
      <c r="N155" s="994"/>
      <c r="O155" s="1052" t="s">
        <v>16</v>
      </c>
      <c r="P155" s="1052"/>
      <c r="Q155" s="1052"/>
      <c r="R155" s="1052"/>
      <c r="S155" s="1052"/>
      <c r="T155" s="1052"/>
      <c r="U155" s="1052"/>
      <c r="V155" s="1052"/>
      <c r="W155" s="1052"/>
      <c r="X155" s="1053"/>
      <c r="Y155" s="1056" t="s">
        <v>17</v>
      </c>
      <c r="Z155" s="1052"/>
      <c r="AA155" s="1052"/>
      <c r="AB155" s="1052"/>
      <c r="AC155" s="1052"/>
      <c r="AD155" s="1058" t="s">
        <v>3</v>
      </c>
      <c r="AE155" s="1059"/>
    </row>
    <row r="156" spans="1:31">
      <c r="A156" s="1002"/>
      <c r="B156" s="5"/>
      <c r="C156" s="5" t="s">
        <v>51</v>
      </c>
      <c r="D156" s="1001"/>
      <c r="E156" s="1054"/>
      <c r="F156" s="1054"/>
      <c r="G156" s="1054"/>
      <c r="H156" s="1054"/>
      <c r="I156" s="1054"/>
      <c r="J156" s="1054"/>
      <c r="K156" s="1055"/>
      <c r="L156" s="996"/>
      <c r="M156" s="997"/>
      <c r="N156" s="996"/>
      <c r="O156" s="1054"/>
      <c r="P156" s="1054"/>
      <c r="Q156" s="1054"/>
      <c r="R156" s="1054"/>
      <c r="S156" s="1054"/>
      <c r="T156" s="1054"/>
      <c r="U156" s="1054"/>
      <c r="V156" s="1054"/>
      <c r="W156" s="1054"/>
      <c r="X156" s="1055"/>
      <c r="Y156" s="1057"/>
      <c r="Z156" s="1054"/>
      <c r="AA156" s="1054"/>
      <c r="AB156" s="1054"/>
      <c r="AC156" s="1054"/>
      <c r="AD156" s="1119" t="s">
        <v>36</v>
      </c>
      <c r="AE156" s="1064"/>
    </row>
    <row r="157" spans="1:31" ht="12.75" customHeight="1">
      <c r="A157" s="1002" t="s">
        <v>54</v>
      </c>
      <c r="B157" s="5" t="s">
        <v>65</v>
      </c>
      <c r="C157" s="5" t="s">
        <v>9</v>
      </c>
      <c r="D157" s="1135" t="str">
        <f>D121</f>
        <v>Бутерб. с маслом сл.</v>
      </c>
      <c r="E157" s="1038" t="str">
        <f>E121</f>
        <v xml:space="preserve">  5. /20</v>
      </c>
      <c r="F157" s="1035" t="str">
        <f>F121</f>
        <v>Каша "Дружба"</v>
      </c>
      <c r="G157" s="1038"/>
      <c r="H157" s="982"/>
      <c r="I157" s="1041" t="str">
        <f>I121</f>
        <v>Чай с лимоном 150 /3,5</v>
      </c>
      <c r="J157" s="1038"/>
      <c r="K157" s="1038" t="str">
        <f>K121</f>
        <v>Батон  порц.</v>
      </c>
      <c r="L157" s="1041" t="str">
        <f>L121</f>
        <v>Сок</v>
      </c>
      <c r="M157" s="1041" t="str">
        <f>M121</f>
        <v>Зефир</v>
      </c>
      <c r="N157" s="1041" t="str">
        <f>N121</f>
        <v>Салат из свеклы</v>
      </c>
      <c r="O157" s="1078" t="str">
        <f>O121</f>
        <v>Щи из св. капусты</v>
      </c>
      <c r="P157" s="1149" t="str">
        <f>P123</f>
        <v>Мясо в щи</v>
      </c>
      <c r="Q157" s="1142" t="str">
        <f>Q123</f>
        <v>Сметана в щи</v>
      </c>
      <c r="R157" s="1078" t="str">
        <f>R121</f>
        <v>Соус молочный для запек.</v>
      </c>
      <c r="S157" s="1041" t="str">
        <f>S121</f>
        <v>Тефтели из печени с рисом</v>
      </c>
      <c r="T157" s="1132"/>
      <c r="U157" s="1044" t="str">
        <f>U121</f>
        <v>Картофель в молоке</v>
      </c>
      <c r="V157" s="1044" t="str">
        <f>V121</f>
        <v>Кисель из концентрата</v>
      </c>
      <c r="W157" s="1041" t="str">
        <f>W121</f>
        <v>Хлеб ржано-пшеничный</v>
      </c>
      <c r="X157" s="1041" t="str">
        <f>X121</f>
        <v>Запеканка из твор.</v>
      </c>
      <c r="Y157" s="1132"/>
      <c r="Z157" s="1038" t="str">
        <f>Z121</f>
        <v>Соус молочный слад.</v>
      </c>
      <c r="AA157" s="988"/>
      <c r="AB157" s="1044" t="str">
        <f>AB121</f>
        <v>Молоко кип.</v>
      </c>
      <c r="AC157" s="1038" t="str">
        <f>AC121</f>
        <v>Хлеб йодирован. пшен.</v>
      </c>
      <c r="AD157" s="24"/>
      <c r="AE157" s="1019"/>
    </row>
    <row r="158" spans="1:31" ht="12.75" customHeight="1">
      <c r="A158" s="1002"/>
      <c r="B158" s="5"/>
      <c r="C158" s="5" t="s">
        <v>10</v>
      </c>
      <c r="D158" s="1147"/>
      <c r="E158" s="1039"/>
      <c r="F158" s="1036"/>
      <c r="G158" s="1039"/>
      <c r="H158" s="983"/>
      <c r="I158" s="1042"/>
      <c r="J158" s="1039"/>
      <c r="K158" s="1039"/>
      <c r="L158" s="1042"/>
      <c r="M158" s="1042"/>
      <c r="N158" s="1042"/>
      <c r="O158" s="1079"/>
      <c r="P158" s="1150"/>
      <c r="Q158" s="1143"/>
      <c r="R158" s="1079"/>
      <c r="S158" s="1097"/>
      <c r="T158" s="1133"/>
      <c r="U158" s="1045"/>
      <c r="V158" s="1045"/>
      <c r="W158" s="1042"/>
      <c r="X158" s="1097"/>
      <c r="Y158" s="1133"/>
      <c r="Z158" s="1039"/>
      <c r="AA158" s="989"/>
      <c r="AB158" s="1045"/>
      <c r="AC158" s="1039"/>
      <c r="AD158" s="19" t="s">
        <v>6</v>
      </c>
      <c r="AE158" s="1001" t="s">
        <v>4</v>
      </c>
    </row>
    <row r="159" spans="1:31">
      <c r="A159" s="1006"/>
      <c r="B159" s="4"/>
      <c r="C159" s="4"/>
      <c r="D159" s="1148"/>
      <c r="E159" s="1040"/>
      <c r="F159" s="1037"/>
      <c r="G159" s="1040"/>
      <c r="H159" s="984"/>
      <c r="I159" s="1043"/>
      <c r="J159" s="1040"/>
      <c r="K159" s="1040"/>
      <c r="L159" s="1043"/>
      <c r="M159" s="1043"/>
      <c r="N159" s="1043"/>
      <c r="O159" s="1080"/>
      <c r="P159" s="1151"/>
      <c r="Q159" s="1144"/>
      <c r="R159" s="1080"/>
      <c r="S159" s="1099"/>
      <c r="T159" s="1134"/>
      <c r="U159" s="1046"/>
      <c r="V159" s="1046"/>
      <c r="W159" s="1043"/>
      <c r="X159" s="1099"/>
      <c r="Y159" s="1134"/>
      <c r="Z159" s="1040"/>
      <c r="AA159" s="990"/>
      <c r="AB159" s="1046"/>
      <c r="AC159" s="1040"/>
      <c r="AD159" s="4" t="s">
        <v>7</v>
      </c>
      <c r="AE159" s="1000" t="s">
        <v>5</v>
      </c>
    </row>
    <row r="160" spans="1:31" ht="13.5" thickBot="1">
      <c r="A160" s="64">
        <v>1</v>
      </c>
      <c r="B160" s="1024">
        <v>2</v>
      </c>
      <c r="C160" s="72">
        <v>3</v>
      </c>
      <c r="D160" s="276">
        <v>4</v>
      </c>
      <c r="E160" s="72">
        <v>5</v>
      </c>
      <c r="F160" s="1008">
        <v>6</v>
      </c>
      <c r="G160" s="72">
        <v>7</v>
      </c>
      <c r="H160" s="87">
        <v>7</v>
      </c>
      <c r="I160" s="276">
        <v>8</v>
      </c>
      <c r="J160" s="95">
        <v>10</v>
      </c>
      <c r="K160" s="96">
        <v>11</v>
      </c>
      <c r="L160" s="96">
        <v>12</v>
      </c>
      <c r="M160" s="96">
        <v>13</v>
      </c>
      <c r="N160" s="81">
        <v>14</v>
      </c>
      <c r="O160" s="82">
        <v>15</v>
      </c>
      <c r="P160" s="276"/>
      <c r="Q160" s="80">
        <v>16</v>
      </c>
      <c r="R160" s="81">
        <v>17</v>
      </c>
      <c r="S160" s="276">
        <v>18</v>
      </c>
      <c r="T160" s="95">
        <v>19</v>
      </c>
      <c r="U160" s="80">
        <v>20</v>
      </c>
      <c r="V160" s="98">
        <v>21</v>
      </c>
      <c r="W160" s="262">
        <v>22</v>
      </c>
      <c r="X160" s="276">
        <v>23</v>
      </c>
      <c r="Y160" s="95">
        <v>24</v>
      </c>
      <c r="Z160" s="96">
        <v>25</v>
      </c>
      <c r="AA160" s="81">
        <v>25</v>
      </c>
      <c r="AB160" s="96">
        <v>26</v>
      </c>
      <c r="AC160" s="35">
        <v>27</v>
      </c>
      <c r="AD160" s="35">
        <v>28</v>
      </c>
      <c r="AE160" s="1008">
        <v>29</v>
      </c>
    </row>
    <row r="161" spans="1:31" ht="15" customHeight="1" thickTop="1">
      <c r="A161" s="135"/>
      <c r="B161" s="13"/>
      <c r="C161" s="77" t="s">
        <v>72</v>
      </c>
      <c r="D161" s="297"/>
      <c r="E161" s="277"/>
      <c r="F161" s="109"/>
      <c r="G161" s="94"/>
      <c r="H161" s="458"/>
      <c r="I161" s="109"/>
      <c r="J161" s="94"/>
      <c r="K161" s="94"/>
      <c r="L161" s="94"/>
      <c r="M161" s="458"/>
      <c r="N161" s="625"/>
      <c r="O161" s="411">
        <v>33.299999999999997</v>
      </c>
      <c r="P161" s="910"/>
      <c r="Q161" s="442"/>
      <c r="R161" s="442"/>
      <c r="S161" s="109"/>
      <c r="T161" s="181"/>
      <c r="U161" s="130">
        <v>127</v>
      </c>
      <c r="V161" s="559"/>
      <c r="W161" s="94"/>
      <c r="X161" s="554"/>
      <c r="Y161" s="410"/>
      <c r="Z161" s="94"/>
      <c r="AA161" s="94"/>
      <c r="AB161" s="94"/>
      <c r="AC161" s="94"/>
      <c r="AD161" s="117"/>
      <c r="AE161" s="116"/>
    </row>
    <row r="162" spans="1:31" ht="15.75" customHeight="1" thickBot="1">
      <c r="A162" s="346" t="str">
        <f>A62</f>
        <v>Картофель</v>
      </c>
      <c r="B162" s="347">
        <f>B62</f>
        <v>28</v>
      </c>
      <c r="C162" s="348" t="s">
        <v>73</v>
      </c>
      <c r="D162" s="387"/>
      <c r="E162" s="353"/>
      <c r="F162" s="338"/>
      <c r="G162" s="337"/>
      <c r="H162" s="459"/>
      <c r="I162" s="338"/>
      <c r="J162" s="337"/>
      <c r="K162" s="337"/>
      <c r="L162" s="337"/>
      <c r="M162" s="459"/>
      <c r="N162" s="459"/>
      <c r="O162" s="376">
        <f>O161*B125/1000</f>
        <v>3.3299999999999996</v>
      </c>
      <c r="P162" s="906"/>
      <c r="Q162" s="341"/>
      <c r="R162" s="341"/>
      <c r="S162" s="349"/>
      <c r="T162" s="340"/>
      <c r="U162" s="339">
        <f>ROUND(U161*B125/1000,2)</f>
        <v>12.7</v>
      </c>
      <c r="V162" s="350"/>
      <c r="W162" s="337"/>
      <c r="X162" s="370"/>
      <c r="Y162" s="350"/>
      <c r="Z162" s="337"/>
      <c r="AA162" s="337"/>
      <c r="AB162" s="337"/>
      <c r="AC162" s="337"/>
      <c r="AD162" s="399">
        <f>ROUND(E162+G162+H162+J162+K162+L162+O162+R162+T162+U162+V162+W162+Y162+Z162+AB162+AC162,2)</f>
        <v>16.03</v>
      </c>
      <c r="AE162" s="344">
        <f>AD162*B162</f>
        <v>448.84000000000003</v>
      </c>
    </row>
    <row r="163" spans="1:31" ht="15.75" customHeight="1" thickTop="1">
      <c r="A163" s="133"/>
      <c r="B163" s="215"/>
      <c r="C163" s="77" t="s">
        <v>72</v>
      </c>
      <c r="D163" s="78"/>
      <c r="E163" s="268"/>
      <c r="F163" s="112"/>
      <c r="G163" s="106"/>
      <c r="H163" s="460"/>
      <c r="I163" s="112"/>
      <c r="J163" s="106"/>
      <c r="K163" s="106"/>
      <c r="L163" s="106"/>
      <c r="M163" s="106"/>
      <c r="N163" s="411">
        <v>38.799999999999997</v>
      </c>
      <c r="O163" s="316"/>
      <c r="P163" s="371"/>
      <c r="Q163" s="272"/>
      <c r="R163" s="443"/>
      <c r="S163" s="177"/>
      <c r="T163" s="251"/>
      <c r="U163" s="509"/>
      <c r="V163" s="464"/>
      <c r="W163" s="127"/>
      <c r="X163" s="371"/>
      <c r="Y163" s="272"/>
      <c r="Z163" s="127"/>
      <c r="AA163" s="127"/>
      <c r="AB163" s="106"/>
      <c r="AC163" s="106"/>
      <c r="AD163" s="426"/>
      <c r="AE163" s="123"/>
    </row>
    <row r="164" spans="1:31" ht="15.75" customHeight="1" thickBot="1">
      <c r="A164" s="346" t="str">
        <f>A64</f>
        <v>Свекла стол.</v>
      </c>
      <c r="B164" s="347">
        <f>B64</f>
        <v>28</v>
      </c>
      <c r="C164" s="348" t="s">
        <v>73</v>
      </c>
      <c r="D164" s="387"/>
      <c r="E164" s="353"/>
      <c r="F164" s="338"/>
      <c r="G164" s="337"/>
      <c r="H164" s="459"/>
      <c r="I164" s="338"/>
      <c r="J164" s="337"/>
      <c r="K164" s="337"/>
      <c r="L164" s="337"/>
      <c r="M164" s="459"/>
      <c r="N164" s="376">
        <f>N163*B125/1000</f>
        <v>3.8799999999999994</v>
      </c>
      <c r="O164" s="352"/>
      <c r="P164" s="370"/>
      <c r="Q164" s="350"/>
      <c r="R164" s="350"/>
      <c r="S164" s="363"/>
      <c r="T164" s="358"/>
      <c r="U164" s="501"/>
      <c r="V164" s="369"/>
      <c r="W164" s="358"/>
      <c r="X164" s="370"/>
      <c r="Y164" s="350"/>
      <c r="Z164" s="339"/>
      <c r="AA164" s="339"/>
      <c r="AB164" s="337"/>
      <c r="AC164" s="337"/>
      <c r="AD164" s="399">
        <f>ROUND(E164+G164+H164+J164+K164+L164+N164+O164+R164+T164+U164+V164+W164+Y164+Z164+AB164+AC164,2)</f>
        <v>3.88</v>
      </c>
      <c r="AE164" s="344">
        <f>AD164*B164</f>
        <v>108.64</v>
      </c>
    </row>
    <row r="165" spans="1:31" ht="15.75" customHeight="1" thickTop="1">
      <c r="A165" s="133"/>
      <c r="B165" s="215"/>
      <c r="C165" s="77" t="s">
        <v>72</v>
      </c>
      <c r="D165" s="78"/>
      <c r="E165" s="268"/>
      <c r="F165" s="112"/>
      <c r="G165" s="106"/>
      <c r="H165" s="460"/>
      <c r="I165" s="112"/>
      <c r="J165" s="106"/>
      <c r="K165" s="106"/>
      <c r="L165" s="106"/>
      <c r="M165" s="460"/>
      <c r="N165" s="455"/>
      <c r="O165" s="274">
        <v>8.6</v>
      </c>
      <c r="P165" s="911"/>
      <c r="Q165" s="509"/>
      <c r="R165" s="827"/>
      <c r="S165" s="177">
        <f>13/60*S126</f>
        <v>13</v>
      </c>
      <c r="T165" s="256">
        <f>S165/S126*T126</f>
        <v>13</v>
      </c>
      <c r="U165" s="130"/>
      <c r="V165" s="559"/>
      <c r="W165" s="251"/>
      <c r="X165" s="371"/>
      <c r="Y165" s="499"/>
      <c r="Z165" s="106"/>
      <c r="AA165" s="106"/>
      <c r="AB165" s="106"/>
      <c r="AC165" s="106"/>
      <c r="AD165" s="263"/>
      <c r="AE165" s="124"/>
    </row>
    <row r="166" spans="1:31" ht="15.75" customHeight="1" thickBot="1">
      <c r="A166" s="346" t="str">
        <f>A66</f>
        <v>Лук</v>
      </c>
      <c r="B166" s="347">
        <f>B66</f>
        <v>37</v>
      </c>
      <c r="C166" s="348" t="s">
        <v>73</v>
      </c>
      <c r="D166" s="387"/>
      <c r="E166" s="353"/>
      <c r="F166" s="338"/>
      <c r="G166" s="337"/>
      <c r="H166" s="459"/>
      <c r="I166" s="338"/>
      <c r="J166" s="337"/>
      <c r="K166" s="337"/>
      <c r="L166" s="337"/>
      <c r="M166" s="459"/>
      <c r="N166" s="614"/>
      <c r="O166" s="361">
        <f>O165*B125/1000</f>
        <v>0.86</v>
      </c>
      <c r="P166" s="906"/>
      <c r="Q166" s="501"/>
      <c r="R166" s="341"/>
      <c r="S166" s="349">
        <f>S165*F125/1000</f>
        <v>1.3</v>
      </c>
      <c r="T166" s="339">
        <f>S166</f>
        <v>1.3</v>
      </c>
      <c r="U166" s="340"/>
      <c r="V166" s="341"/>
      <c r="W166" s="358"/>
      <c r="X166" s="370"/>
      <c r="Y166" s="350"/>
      <c r="Z166" s="337"/>
      <c r="AA166" s="337"/>
      <c r="AB166" s="337"/>
      <c r="AC166" s="337"/>
      <c r="AD166" s="399">
        <f>ROUND(E166+G166+H166+J166+K166+L166+O166+R166+T166+U166+V166+W166+Y166+Z166+AB166+AC166,2)</f>
        <v>2.16</v>
      </c>
      <c r="AE166" s="368">
        <f>AD166*B166</f>
        <v>79.92</v>
      </c>
    </row>
    <row r="167" spans="1:31" ht="15.75" customHeight="1" thickTop="1">
      <c r="A167" s="133"/>
      <c r="B167" s="213"/>
      <c r="C167" s="427" t="s">
        <v>72</v>
      </c>
      <c r="D167" s="78"/>
      <c r="E167" s="268"/>
      <c r="F167" s="112"/>
      <c r="G167" s="106"/>
      <c r="H167" s="460"/>
      <c r="I167" s="112"/>
      <c r="J167" s="106"/>
      <c r="K167" s="106"/>
      <c r="L167" s="106"/>
      <c r="M167" s="460"/>
      <c r="N167" s="637"/>
      <c r="O167" s="412">
        <v>12</v>
      </c>
      <c r="P167" s="912"/>
      <c r="Q167" s="441"/>
      <c r="R167" s="441"/>
      <c r="S167" s="177"/>
      <c r="T167" s="129">
        <f>S167/S126*T126</f>
        <v>0</v>
      </c>
      <c r="U167" s="620"/>
      <c r="V167" s="129"/>
      <c r="W167" s="250"/>
      <c r="X167" s="371"/>
      <c r="Y167" s="272"/>
      <c r="Z167" s="127"/>
      <c r="AA167" s="127"/>
      <c r="AB167" s="106"/>
      <c r="AC167" s="106"/>
      <c r="AD167" s="263"/>
      <c r="AE167" s="123"/>
    </row>
    <row r="168" spans="1:31" ht="15.75" customHeight="1" thickBot="1">
      <c r="A168" s="346" t="str">
        <f>A68</f>
        <v>Морковь</v>
      </c>
      <c r="B168" s="347">
        <f>B68</f>
        <v>38</v>
      </c>
      <c r="C168" s="348" t="s">
        <v>73</v>
      </c>
      <c r="D168" s="387"/>
      <c r="E168" s="353"/>
      <c r="F168" s="338"/>
      <c r="G168" s="337"/>
      <c r="H168" s="459"/>
      <c r="I168" s="338"/>
      <c r="J168" s="337"/>
      <c r="K168" s="337"/>
      <c r="L168" s="337"/>
      <c r="M168" s="459"/>
      <c r="N168" s="360"/>
      <c r="O168" s="361">
        <f>O167*B125/1000</f>
        <v>1.2</v>
      </c>
      <c r="P168" s="906"/>
      <c r="Q168" s="341"/>
      <c r="R168" s="341"/>
      <c r="S168" s="349">
        <f>S167*S125/1000</f>
        <v>0</v>
      </c>
      <c r="T168" s="339">
        <f>S168</f>
        <v>0</v>
      </c>
      <c r="U168" s="350"/>
      <c r="V168" s="350"/>
      <c r="W168" s="358"/>
      <c r="X168" s="370"/>
      <c r="Y168" s="350"/>
      <c r="Z168" s="339"/>
      <c r="AA168" s="339"/>
      <c r="AB168" s="337"/>
      <c r="AC168" s="337"/>
      <c r="AD168" s="399">
        <f>ROUND(E168+G168+H168+J168+K168+L168+N168+O168+R168+T168+U168+V168+W168+Y168+Z168+AB168+AC168,2)</f>
        <v>1.2</v>
      </c>
      <c r="AE168" s="344">
        <f>AD168*B168</f>
        <v>45.6</v>
      </c>
    </row>
    <row r="169" spans="1:31" ht="15.75" customHeight="1" thickTop="1">
      <c r="A169" s="133"/>
      <c r="B169" s="215"/>
      <c r="C169" s="77" t="s">
        <v>72</v>
      </c>
      <c r="D169" s="78"/>
      <c r="E169" s="268"/>
      <c r="F169" s="112"/>
      <c r="G169" s="106"/>
      <c r="H169" s="460"/>
      <c r="I169" s="177"/>
      <c r="J169" s="114">
        <f>I169/I126*J126</f>
        <v>0</v>
      </c>
      <c r="K169" s="106"/>
      <c r="L169" s="106"/>
      <c r="M169" s="106"/>
      <c r="N169" s="106"/>
      <c r="O169" s="834">
        <v>45</v>
      </c>
      <c r="P169" s="904"/>
      <c r="Q169" s="268"/>
      <c r="R169" s="268"/>
      <c r="S169" s="177"/>
      <c r="T169" s="106"/>
      <c r="U169" s="509"/>
      <c r="V169" s="268"/>
      <c r="W169" s="106"/>
      <c r="X169" s="371"/>
      <c r="Y169" s="268"/>
      <c r="Z169" s="106"/>
      <c r="AA169" s="106"/>
      <c r="AB169" s="127"/>
      <c r="AC169" s="106"/>
      <c r="AD169" s="263"/>
      <c r="AE169" s="123"/>
    </row>
    <row r="170" spans="1:31" ht="15.75" customHeight="1" thickBot="1">
      <c r="A170" s="346" t="str">
        <f>A70</f>
        <v>Капуста св. б/к</v>
      </c>
      <c r="B170" s="347">
        <f>B70</f>
        <v>30</v>
      </c>
      <c r="C170" s="348" t="s">
        <v>73</v>
      </c>
      <c r="D170" s="387"/>
      <c r="E170" s="353"/>
      <c r="F170" s="338"/>
      <c r="G170" s="337"/>
      <c r="H170" s="459"/>
      <c r="I170" s="349">
        <f>I169*F125/1000</f>
        <v>0</v>
      </c>
      <c r="J170" s="339">
        <f>I170</f>
        <v>0</v>
      </c>
      <c r="K170" s="337"/>
      <c r="L170" s="337"/>
      <c r="M170" s="337"/>
      <c r="N170" s="337"/>
      <c r="O170" s="361">
        <f>O169*B125/1000</f>
        <v>4.5</v>
      </c>
      <c r="P170" s="906"/>
      <c r="Q170" s="353"/>
      <c r="R170" s="353"/>
      <c r="S170" s="349"/>
      <c r="T170" s="337"/>
      <c r="U170" s="501"/>
      <c r="V170" s="353"/>
      <c r="W170" s="337"/>
      <c r="X170" s="370"/>
      <c r="Y170" s="353"/>
      <c r="Z170" s="337"/>
      <c r="AA170" s="337"/>
      <c r="AB170" s="340"/>
      <c r="AC170" s="337"/>
      <c r="AD170" s="399">
        <f>ROUND(E170+G170+H170+J170+K170+L170+O170+R170+T170+U170+V170+W170+Y170+Z170+AB170+AC170,2)</f>
        <v>4.5</v>
      </c>
      <c r="AE170" s="344">
        <f>AD170*B170</f>
        <v>135</v>
      </c>
    </row>
    <row r="171" spans="1:31" ht="15.75" customHeight="1" thickTop="1">
      <c r="A171" s="133"/>
      <c r="B171" s="215"/>
      <c r="C171" s="77" t="s">
        <v>72</v>
      </c>
      <c r="D171" s="108">
        <v>20</v>
      </c>
      <c r="E171" s="129">
        <f>D171/D126*E126</f>
        <v>20</v>
      </c>
      <c r="F171" s="112"/>
      <c r="G171" s="106"/>
      <c r="H171" s="460"/>
      <c r="I171" s="112"/>
      <c r="J171" s="106"/>
      <c r="K171" s="128">
        <f>K172/B125*1000</f>
        <v>10</v>
      </c>
      <c r="L171" s="106"/>
      <c r="M171" s="127"/>
      <c r="N171" s="106"/>
      <c r="O171" s="270"/>
      <c r="P171" s="371"/>
      <c r="Q171" s="268"/>
      <c r="R171" s="268"/>
      <c r="S171" s="177"/>
      <c r="T171" s="114"/>
      <c r="U171" s="509"/>
      <c r="V171" s="137"/>
      <c r="W171" s="106"/>
      <c r="X171" s="371"/>
      <c r="Y171" s="268"/>
      <c r="Z171" s="106"/>
      <c r="AA171" s="106"/>
      <c r="AB171" s="106"/>
      <c r="AC171" s="128"/>
      <c r="AD171" s="263"/>
      <c r="AE171" s="123"/>
    </row>
    <row r="172" spans="1:31" ht="15.75" customHeight="1" thickBot="1">
      <c r="A172" s="346" t="str">
        <f>A72</f>
        <v>Батон витам.</v>
      </c>
      <c r="B172" s="347">
        <f>B72</f>
        <v>81.099999999999994</v>
      </c>
      <c r="C172" s="348" t="s">
        <v>73</v>
      </c>
      <c r="D172" s="349">
        <f>D171*F125/1000</f>
        <v>2</v>
      </c>
      <c r="E172" s="341">
        <f>D172</f>
        <v>2</v>
      </c>
      <c r="F172" s="338"/>
      <c r="G172" s="337"/>
      <c r="H172" s="459"/>
      <c r="I172" s="338"/>
      <c r="J172" s="337"/>
      <c r="K172" s="339">
        <v>1</v>
      </c>
      <c r="L172" s="337"/>
      <c r="M172" s="337"/>
      <c r="N172" s="337"/>
      <c r="O172" s="352"/>
      <c r="P172" s="370"/>
      <c r="Q172" s="353"/>
      <c r="R172" s="353"/>
      <c r="S172" s="349"/>
      <c r="T172" s="342"/>
      <c r="U172" s="501"/>
      <c r="V172" s="354"/>
      <c r="W172" s="337"/>
      <c r="X172" s="370"/>
      <c r="Y172" s="353"/>
      <c r="Z172" s="337"/>
      <c r="AA172" s="337"/>
      <c r="AB172" s="337"/>
      <c r="AC172" s="342"/>
      <c r="AD172" s="399">
        <f>ROUND(E172+G172+H172+J172+K172+L172+O172+R172+T172+U172+V172+W172+Y172+Z172+AB172+AC172,2)</f>
        <v>3</v>
      </c>
      <c r="AE172" s="344">
        <f>AD172*B172</f>
        <v>243.29999999999998</v>
      </c>
    </row>
    <row r="173" spans="1:31" ht="15.75" customHeight="1" thickTop="1">
      <c r="A173" s="133"/>
      <c r="B173" s="213"/>
      <c r="C173" s="427" t="s">
        <v>72</v>
      </c>
      <c r="D173" s="287"/>
      <c r="E173" s="268"/>
      <c r="F173" s="112"/>
      <c r="G173" s="106"/>
      <c r="H173" s="460"/>
      <c r="I173" s="112"/>
      <c r="J173" s="106"/>
      <c r="K173" s="106"/>
      <c r="L173" s="106"/>
      <c r="M173" s="106"/>
      <c r="N173" s="106"/>
      <c r="O173" s="270"/>
      <c r="P173" s="371"/>
      <c r="Q173" s="434"/>
      <c r="R173" s="268"/>
      <c r="S173" s="177"/>
      <c r="T173" s="106"/>
      <c r="U173" s="509"/>
      <c r="V173" s="272"/>
      <c r="W173" s="184">
        <f>W174/B125*1000</f>
        <v>30</v>
      </c>
      <c r="X173" s="432"/>
      <c r="Y173" s="268"/>
      <c r="Z173" s="106"/>
      <c r="AA173" s="106"/>
      <c r="AB173" s="106"/>
      <c r="AC173" s="106"/>
      <c r="AD173" s="263"/>
      <c r="AE173" s="123"/>
    </row>
    <row r="174" spans="1:31" ht="15.75" customHeight="1" thickBot="1">
      <c r="A174" s="346" t="str">
        <f>A74</f>
        <v>Хлеб рж-пшен.</v>
      </c>
      <c r="B174" s="347">
        <f>B74</f>
        <v>55</v>
      </c>
      <c r="C174" s="348" t="s">
        <v>73</v>
      </c>
      <c r="D174" s="385"/>
      <c r="E174" s="353"/>
      <c r="F174" s="338"/>
      <c r="G174" s="337"/>
      <c r="H174" s="459"/>
      <c r="I174" s="338"/>
      <c r="J174" s="337"/>
      <c r="K174" s="337"/>
      <c r="L174" s="337"/>
      <c r="M174" s="337"/>
      <c r="N174" s="337"/>
      <c r="O174" s="352"/>
      <c r="P174" s="370"/>
      <c r="Q174" s="353"/>
      <c r="R174" s="353"/>
      <c r="S174" s="349"/>
      <c r="T174" s="337"/>
      <c r="U174" s="501"/>
      <c r="V174" s="341"/>
      <c r="W174" s="341">
        <v>3</v>
      </c>
      <c r="X174" s="440"/>
      <c r="Y174" s="353"/>
      <c r="Z174" s="337"/>
      <c r="AA174" s="337"/>
      <c r="AB174" s="337"/>
      <c r="AC174" s="337"/>
      <c r="AD174" s="399">
        <f>ROUND(E174+G174+H174+J174+K174+L174+O174+R174+T174+U174+V174+W174+Y174+Z174+AB174+AC174,2)</f>
        <v>3</v>
      </c>
      <c r="AE174" s="344">
        <f>AD174*B174</f>
        <v>165</v>
      </c>
    </row>
    <row r="175" spans="1:31" ht="15.75" customHeight="1" thickTop="1">
      <c r="A175" s="133"/>
      <c r="B175" s="215"/>
      <c r="C175" s="77" t="s">
        <v>72</v>
      </c>
      <c r="D175" s="287"/>
      <c r="E175" s="268"/>
      <c r="F175" s="112"/>
      <c r="G175" s="106"/>
      <c r="H175" s="460"/>
      <c r="I175" s="112"/>
      <c r="J175" s="106"/>
      <c r="K175" s="106"/>
      <c r="L175" s="106"/>
      <c r="M175" s="106"/>
      <c r="N175" s="106"/>
      <c r="O175" s="270"/>
      <c r="P175" s="371"/>
      <c r="Q175" s="268"/>
      <c r="R175" s="268"/>
      <c r="S175" s="177"/>
      <c r="T175" s="106"/>
      <c r="U175" s="509"/>
      <c r="V175" s="268"/>
      <c r="W175" s="106"/>
      <c r="X175" s="371"/>
      <c r="Y175" s="268"/>
      <c r="Z175" s="106"/>
      <c r="AA175" s="106"/>
      <c r="AB175" s="106"/>
      <c r="AC175" s="128">
        <f>AC176/AC125*1000</f>
        <v>10</v>
      </c>
      <c r="AD175" s="263"/>
      <c r="AE175" s="123"/>
    </row>
    <row r="176" spans="1:31" ht="15.75" customHeight="1" thickBot="1">
      <c r="A176" s="346" t="str">
        <f>A76</f>
        <v xml:space="preserve">Хлеб  йод. пш. </v>
      </c>
      <c r="B176" s="347">
        <f>B76</f>
        <v>61.3</v>
      </c>
      <c r="C176" s="348" t="s">
        <v>73</v>
      </c>
      <c r="D176" s="385"/>
      <c r="E176" s="353"/>
      <c r="F176" s="338"/>
      <c r="G176" s="337"/>
      <c r="H176" s="459"/>
      <c r="I176" s="338"/>
      <c r="J176" s="337"/>
      <c r="K176" s="337"/>
      <c r="L176" s="337"/>
      <c r="M176" s="337"/>
      <c r="N176" s="337"/>
      <c r="O176" s="352"/>
      <c r="P176" s="370"/>
      <c r="Q176" s="353"/>
      <c r="R176" s="353"/>
      <c r="S176" s="349"/>
      <c r="T176" s="337"/>
      <c r="U176" s="501"/>
      <c r="V176" s="353"/>
      <c r="W176" s="337"/>
      <c r="X176" s="370"/>
      <c r="Y176" s="353"/>
      <c r="Z176" s="337"/>
      <c r="AA176" s="337"/>
      <c r="AB176" s="337"/>
      <c r="AC176" s="339">
        <v>1</v>
      </c>
      <c r="AD176" s="399">
        <f>ROUND(E176+G176+H176+J176+K176+L176+O176+R176+T176+U176+V176+W176+Y176+Z176+AB176+AC176,2)</f>
        <v>1</v>
      </c>
      <c r="AE176" s="344">
        <f>AD176*B176</f>
        <v>61.3</v>
      </c>
    </row>
    <row r="177" spans="1:31" ht="15.75" customHeight="1" thickTop="1">
      <c r="A177" s="133"/>
      <c r="B177" s="213"/>
      <c r="C177" s="427" t="s">
        <v>72</v>
      </c>
      <c r="D177" s="287"/>
      <c r="E177" s="268"/>
      <c r="F177" s="112"/>
      <c r="G177" s="106"/>
      <c r="H177" s="460"/>
      <c r="I177" s="112">
        <v>0.3</v>
      </c>
      <c r="J177" s="128">
        <f>I177/I126*J126</f>
        <v>0.3</v>
      </c>
      <c r="K177" s="106"/>
      <c r="L177" s="106"/>
      <c r="M177" s="106"/>
      <c r="N177" s="106"/>
      <c r="O177" s="270"/>
      <c r="P177" s="371"/>
      <c r="Q177" s="268"/>
      <c r="R177" s="268"/>
      <c r="S177" s="177"/>
      <c r="T177" s="106"/>
      <c r="U177" s="509"/>
      <c r="V177" s="268"/>
      <c r="W177" s="106"/>
      <c r="X177" s="371"/>
      <c r="Y177" s="268"/>
      <c r="Z177" s="106"/>
      <c r="AA177" s="106"/>
      <c r="AB177" s="127"/>
      <c r="AC177" s="106"/>
      <c r="AD177" s="263"/>
      <c r="AE177" s="123"/>
    </row>
    <row r="178" spans="1:31" ht="15.75" customHeight="1" thickBot="1">
      <c r="A178" s="346" t="str">
        <f>A78</f>
        <v>Чай</v>
      </c>
      <c r="B178" s="347">
        <f>B78</f>
        <v>500</v>
      </c>
      <c r="C178" s="348" t="s">
        <v>73</v>
      </c>
      <c r="D178" s="385"/>
      <c r="E178" s="353"/>
      <c r="F178" s="338"/>
      <c r="G178" s="337"/>
      <c r="H178" s="459"/>
      <c r="I178" s="377">
        <f>I177*F125/1000</f>
        <v>0.03</v>
      </c>
      <c r="J178" s="814">
        <f>I178</f>
        <v>0.03</v>
      </c>
      <c r="K178" s="337"/>
      <c r="L178" s="337"/>
      <c r="M178" s="337"/>
      <c r="N178" s="337"/>
      <c r="O178" s="352"/>
      <c r="P178" s="370"/>
      <c r="Q178" s="353"/>
      <c r="R178" s="353"/>
      <c r="S178" s="349"/>
      <c r="T178" s="337"/>
      <c r="U178" s="501"/>
      <c r="V178" s="353"/>
      <c r="W178" s="337"/>
      <c r="X178" s="370"/>
      <c r="Y178" s="353"/>
      <c r="Z178" s="337"/>
      <c r="AA178" s="337"/>
      <c r="AB178" s="355"/>
      <c r="AC178" s="337"/>
      <c r="AD178" s="400">
        <f>ROUND(E178+G178+H178+J178+K178+L178+O178+R178+T178+U178+V178+W178+Y178+Z178+AB178+AC178,3)</f>
        <v>0.03</v>
      </c>
      <c r="AE178" s="344">
        <f>AD178*B178</f>
        <v>15</v>
      </c>
    </row>
    <row r="179" spans="1:31" ht="15.75" customHeight="1" thickTop="1">
      <c r="A179" s="133"/>
      <c r="B179" s="213"/>
      <c r="C179" s="427" t="s">
        <v>72</v>
      </c>
      <c r="D179" s="287"/>
      <c r="E179" s="268"/>
      <c r="F179" s="112"/>
      <c r="G179" s="106"/>
      <c r="H179" s="460"/>
      <c r="I179" s="112"/>
      <c r="J179" s="128"/>
      <c r="K179" s="106"/>
      <c r="L179" s="106"/>
      <c r="M179" s="106"/>
      <c r="N179" s="106"/>
      <c r="O179" s="270"/>
      <c r="P179" s="371">
        <f>P180/B125*1000</f>
        <v>17.7</v>
      </c>
      <c r="Q179" s="268"/>
      <c r="R179" s="434"/>
      <c r="S179" s="177"/>
      <c r="T179" s="114"/>
      <c r="U179" s="509"/>
      <c r="V179" s="137"/>
      <c r="W179" s="106"/>
      <c r="X179" s="371"/>
      <c r="Y179" s="268"/>
      <c r="Z179" s="106"/>
      <c r="AA179" s="106"/>
      <c r="AB179" s="127"/>
      <c r="AC179" s="106"/>
      <c r="AD179" s="263"/>
      <c r="AE179" s="123"/>
    </row>
    <row r="180" spans="1:31" ht="15.75" customHeight="1" thickBot="1">
      <c r="A180" s="346" t="str">
        <f>A80</f>
        <v>Мясо гов.</v>
      </c>
      <c r="B180" s="347">
        <f>B80</f>
        <v>470.6</v>
      </c>
      <c r="C180" s="348" t="s">
        <v>73</v>
      </c>
      <c r="D180" s="385"/>
      <c r="E180" s="353"/>
      <c r="F180" s="338"/>
      <c r="G180" s="337"/>
      <c r="H180" s="459"/>
      <c r="I180" s="338"/>
      <c r="J180" s="342"/>
      <c r="K180" s="337"/>
      <c r="L180" s="337"/>
      <c r="M180" s="337"/>
      <c r="N180" s="337"/>
      <c r="O180" s="352"/>
      <c r="P180" s="343">
        <v>1.77</v>
      </c>
      <c r="Q180" s="353"/>
      <c r="R180" s="445"/>
      <c r="S180" s="349"/>
      <c r="T180" s="339"/>
      <c r="U180" s="501"/>
      <c r="V180" s="341"/>
      <c r="W180" s="337"/>
      <c r="X180" s="370"/>
      <c r="Y180" s="353"/>
      <c r="Z180" s="337"/>
      <c r="AA180" s="337"/>
      <c r="AB180" s="357">
        <f>AB179*AB125/1000</f>
        <v>0</v>
      </c>
      <c r="AC180" s="337"/>
      <c r="AD180" s="399">
        <f>ROUND(E180+G180+H180+J180+K180+L180+O180+R180+T180+U180+V180+W180+Y180+Z180+AB180+AC180,2)</f>
        <v>0</v>
      </c>
      <c r="AE180" s="344">
        <f>AD180*B180</f>
        <v>0</v>
      </c>
    </row>
    <row r="181" spans="1:31" ht="15.75" customHeight="1" thickTop="1">
      <c r="A181" s="133"/>
      <c r="B181" s="215"/>
      <c r="C181" s="77" t="s">
        <v>72</v>
      </c>
      <c r="D181" s="287"/>
      <c r="E181" s="268"/>
      <c r="F181" s="112"/>
      <c r="G181" s="106"/>
      <c r="H181" s="460"/>
      <c r="I181" s="112"/>
      <c r="J181" s="106"/>
      <c r="K181" s="106"/>
      <c r="L181" s="114"/>
      <c r="M181" s="114"/>
      <c r="N181" s="128"/>
      <c r="O181" s="270"/>
      <c r="P181" s="371"/>
      <c r="Q181" s="268"/>
      <c r="R181" s="268"/>
      <c r="S181" s="836"/>
      <c r="T181" s="413"/>
      <c r="U181" s="509"/>
      <c r="V181" s="127">
        <v>0.15</v>
      </c>
      <c r="W181" s="127"/>
      <c r="X181" s="371"/>
      <c r="Y181" s="272"/>
      <c r="Z181" s="127"/>
      <c r="AA181" s="127"/>
      <c r="AB181" s="127"/>
      <c r="AC181" s="106"/>
      <c r="AD181" s="263"/>
      <c r="AE181" s="123"/>
    </row>
    <row r="182" spans="1:31" ht="15.75" customHeight="1" thickBot="1">
      <c r="A182" s="346" t="str">
        <f>A82</f>
        <v>Кислота лим.</v>
      </c>
      <c r="B182" s="347">
        <f>B82</f>
        <v>900</v>
      </c>
      <c r="C182" s="348" t="s">
        <v>73</v>
      </c>
      <c r="D182" s="385"/>
      <c r="E182" s="353"/>
      <c r="F182" s="338"/>
      <c r="G182" s="337"/>
      <c r="H182" s="459"/>
      <c r="I182" s="338"/>
      <c r="J182" s="337"/>
      <c r="K182" s="337"/>
      <c r="L182" s="342"/>
      <c r="M182" s="589"/>
      <c r="N182" s="357"/>
      <c r="O182" s="352"/>
      <c r="P182" s="370"/>
      <c r="Q182" s="353"/>
      <c r="R182" s="353"/>
      <c r="S182" s="363"/>
      <c r="T182" s="337"/>
      <c r="U182" s="501"/>
      <c r="V182" s="600">
        <f>V181*B125/1000</f>
        <v>1.4999999999999999E-2</v>
      </c>
      <c r="W182" s="355"/>
      <c r="X182" s="370"/>
      <c r="Y182" s="367"/>
      <c r="Z182" s="357"/>
      <c r="AA182" s="357"/>
      <c r="AB182" s="357">
        <f>AB181*AB125/1000</f>
        <v>0</v>
      </c>
      <c r="AC182" s="337"/>
      <c r="AD182" s="400">
        <f>ROUND(E182+G182+H182+J182+K182+L182+M182+N182+O182+Q182+R182+T182+V182+W182+X182+Y182+Z182+AB182+AC182,3)</f>
        <v>1.4999999999999999E-2</v>
      </c>
      <c r="AE182" s="344">
        <f>AD182*B182</f>
        <v>13.5</v>
      </c>
    </row>
    <row r="183" spans="1:31" ht="15.75" customHeight="1" thickTop="1">
      <c r="A183" s="133"/>
      <c r="B183" s="215"/>
      <c r="C183" s="77" t="s">
        <v>72</v>
      </c>
      <c r="D183" s="305"/>
      <c r="E183" s="268"/>
      <c r="F183" s="112"/>
      <c r="G183" s="106"/>
      <c r="H183" s="460"/>
      <c r="I183" s="112"/>
      <c r="J183" s="106"/>
      <c r="K183" s="106"/>
      <c r="L183" s="106"/>
      <c r="M183" s="460"/>
      <c r="N183" s="455"/>
      <c r="O183" s="412"/>
      <c r="P183" s="912"/>
      <c r="Q183" s="272"/>
      <c r="R183" s="272"/>
      <c r="S183" s="177"/>
      <c r="T183" s="256"/>
      <c r="U183" s="509"/>
      <c r="V183" s="129"/>
      <c r="W183" s="106"/>
      <c r="X183" s="371"/>
      <c r="Y183" s="272"/>
      <c r="Z183" s="106"/>
      <c r="AA183" s="106"/>
      <c r="AB183" s="106"/>
      <c r="AC183" s="106"/>
      <c r="AD183" s="263"/>
      <c r="AE183" s="123"/>
    </row>
    <row r="184" spans="1:31" ht="15.75" customHeight="1" thickBot="1">
      <c r="A184" s="346" t="str">
        <f>A84</f>
        <v>Паста том.</v>
      </c>
      <c r="B184" s="347">
        <f>B84</f>
        <v>370</v>
      </c>
      <c r="C184" s="348" t="s">
        <v>73</v>
      </c>
      <c r="D184" s="385"/>
      <c r="E184" s="353"/>
      <c r="F184" s="338"/>
      <c r="G184" s="337"/>
      <c r="H184" s="459"/>
      <c r="I184" s="338"/>
      <c r="J184" s="337"/>
      <c r="K184" s="337"/>
      <c r="L184" s="337"/>
      <c r="M184" s="459"/>
      <c r="N184" s="614"/>
      <c r="O184" s="361">
        <f>O183*B125/1000</f>
        <v>0</v>
      </c>
      <c r="P184" s="906"/>
      <c r="Q184" s="341"/>
      <c r="R184" s="350"/>
      <c r="S184" s="349"/>
      <c r="T184" s="340"/>
      <c r="U184" s="501"/>
      <c r="V184" s="341"/>
      <c r="W184" s="337"/>
      <c r="X184" s="370"/>
      <c r="Y184" s="350"/>
      <c r="Z184" s="337"/>
      <c r="AA184" s="337"/>
      <c r="AB184" s="337"/>
      <c r="AC184" s="337"/>
      <c r="AD184" s="399">
        <f>ROUND(E184+G184+H184+J184+K184+L184+O184+R184+T184+U184+V184+W184+Y184+Z184+AB184+AC184,2)</f>
        <v>0</v>
      </c>
      <c r="AE184" s="344">
        <f>AD184*B184</f>
        <v>0</v>
      </c>
    </row>
    <row r="185" spans="1:31" ht="15.75" customHeight="1" thickTop="1">
      <c r="A185" s="133"/>
      <c r="B185" s="215"/>
      <c r="C185" s="77" t="s">
        <v>72</v>
      </c>
      <c r="D185" s="287"/>
      <c r="E185" s="271"/>
      <c r="F185" s="112"/>
      <c r="G185" s="105"/>
      <c r="H185" s="461"/>
      <c r="I185" s="112"/>
      <c r="J185" s="105"/>
      <c r="K185" s="105"/>
      <c r="L185" s="105"/>
      <c r="M185" s="105"/>
      <c r="N185" s="127"/>
      <c r="O185" s="273"/>
      <c r="P185" s="913"/>
      <c r="Q185" s="272"/>
      <c r="R185" s="131">
        <v>1.7</v>
      </c>
      <c r="S185" s="177"/>
      <c r="T185" s="256">
        <f>S185/S126*T126</f>
        <v>0</v>
      </c>
      <c r="U185" s="131">
        <v>1.1000000000000001</v>
      </c>
      <c r="V185" s="184"/>
      <c r="W185" s="127"/>
      <c r="X185" s="177">
        <f>3.2/80*X126</f>
        <v>3.2</v>
      </c>
      <c r="Y185" s="256">
        <f>X185/X126*Y126</f>
        <v>3.2</v>
      </c>
      <c r="Z185" s="131">
        <v>0.9</v>
      </c>
      <c r="AA185" s="127"/>
      <c r="AB185" s="105"/>
      <c r="AC185" s="105"/>
      <c r="AD185" s="263"/>
      <c r="AE185" s="123"/>
    </row>
    <row r="186" spans="1:31" ht="15.75" customHeight="1" thickBot="1">
      <c r="A186" s="346" t="str">
        <f>A86</f>
        <v>Мука пшен.</v>
      </c>
      <c r="B186" s="347">
        <f>B86</f>
        <v>29.08</v>
      </c>
      <c r="C186" s="348" t="s">
        <v>73</v>
      </c>
      <c r="D186" s="385"/>
      <c r="E186" s="353"/>
      <c r="F186" s="338"/>
      <c r="G186" s="337"/>
      <c r="H186" s="459"/>
      <c r="I186" s="338"/>
      <c r="J186" s="337"/>
      <c r="K186" s="337"/>
      <c r="L186" s="337"/>
      <c r="M186" s="337"/>
      <c r="N186" s="342"/>
      <c r="O186" s="352"/>
      <c r="P186" s="370"/>
      <c r="Q186" s="353"/>
      <c r="R186" s="341">
        <f>ROUND(R185*B125/1000,2)</f>
        <v>0.17</v>
      </c>
      <c r="S186" s="349">
        <f>S185*F125/1000</f>
        <v>0</v>
      </c>
      <c r="T186" s="339">
        <f>S186</f>
        <v>0</v>
      </c>
      <c r="U186" s="341">
        <f>U185*B125/1000</f>
        <v>0.11000000000000001</v>
      </c>
      <c r="V186" s="341"/>
      <c r="W186" s="339"/>
      <c r="X186" s="349">
        <f>X185*F125/1000</f>
        <v>0.32</v>
      </c>
      <c r="Y186" s="339">
        <f>ROUND(X186,2)</f>
        <v>0.32</v>
      </c>
      <c r="Z186" s="341">
        <f>Z185*Z125/1000</f>
        <v>0.09</v>
      </c>
      <c r="AA186" s="339"/>
      <c r="AB186" s="337"/>
      <c r="AC186" s="337"/>
      <c r="AD186" s="399">
        <f>ROUND(E186+G186+H186+J186+K186+L186+N186+O186+R186+T186+U186+V186+W186+Y186+Z186+AB186+AC186,2)</f>
        <v>0.69</v>
      </c>
      <c r="AE186" s="344">
        <f>AD186*B186</f>
        <v>20.065199999999997</v>
      </c>
    </row>
    <row r="187" spans="1:31" ht="15.75" customHeight="1" thickTop="1">
      <c r="A187" s="133"/>
      <c r="B187" s="213"/>
      <c r="C187" s="427" t="s">
        <v>72</v>
      </c>
      <c r="D187" s="287"/>
      <c r="E187" s="268"/>
      <c r="F187" s="90">
        <v>2.1</v>
      </c>
      <c r="G187" s="129">
        <f>F187/F126*G126</f>
        <v>2.1</v>
      </c>
      <c r="H187" s="457"/>
      <c r="I187" s="112"/>
      <c r="J187" s="106"/>
      <c r="K187" s="106"/>
      <c r="L187" s="106"/>
      <c r="M187" s="106"/>
      <c r="N187" s="106"/>
      <c r="O187" s="270"/>
      <c r="P187" s="371"/>
      <c r="Q187" s="268"/>
      <c r="R187" s="184"/>
      <c r="S187" s="177"/>
      <c r="T187" s="106"/>
      <c r="U187" s="620"/>
      <c r="V187" s="268"/>
      <c r="W187" s="106"/>
      <c r="X187" s="371"/>
      <c r="Y187" s="272"/>
      <c r="Z187" s="106"/>
      <c r="AA187" s="106"/>
      <c r="AB187" s="106"/>
      <c r="AC187" s="106"/>
      <c r="AD187" s="263"/>
      <c r="AE187" s="123"/>
    </row>
    <row r="188" spans="1:31" ht="15.75" customHeight="1" thickBot="1">
      <c r="A188" s="346" t="str">
        <f>A88</f>
        <v>Изюм.</v>
      </c>
      <c r="B188" s="347">
        <f>B88</f>
        <v>292</v>
      </c>
      <c r="C188" s="348" t="s">
        <v>73</v>
      </c>
      <c r="D188" s="385"/>
      <c r="E188" s="353"/>
      <c r="F188" s="363">
        <f>F187*F125/1000</f>
        <v>0.21</v>
      </c>
      <c r="G188" s="341">
        <f>F188</f>
        <v>0.21</v>
      </c>
      <c r="H188" s="372"/>
      <c r="I188" s="338"/>
      <c r="J188" s="337"/>
      <c r="K188" s="337"/>
      <c r="L188" s="337"/>
      <c r="M188" s="459"/>
      <c r="N188" s="353"/>
      <c r="O188" s="345"/>
      <c r="P188" s="370"/>
      <c r="Q188" s="337"/>
      <c r="R188" s="341"/>
      <c r="S188" s="349"/>
      <c r="T188" s="337"/>
      <c r="U188" s="420"/>
      <c r="V188" s="353"/>
      <c r="W188" s="337"/>
      <c r="X188" s="370"/>
      <c r="Y188" s="553"/>
      <c r="Z188" s="337"/>
      <c r="AA188" s="337"/>
      <c r="AB188" s="337"/>
      <c r="AC188" s="337"/>
      <c r="AD188" s="399">
        <f>ROUND(E188+G188+H188+J188+K188+L188+O188+R188+T188+U188+V188+W188+Y188+Z188+AB188+AC188,2)</f>
        <v>0.21</v>
      </c>
      <c r="AE188" s="344">
        <f>AD188*B188</f>
        <v>61.32</v>
      </c>
    </row>
    <row r="189" spans="1:31" ht="15.75" customHeight="1" thickTop="1">
      <c r="A189" s="133"/>
      <c r="B189" s="213"/>
      <c r="C189" s="427" t="s">
        <v>72</v>
      </c>
      <c r="D189" s="287"/>
      <c r="E189" s="268"/>
      <c r="F189" s="112">
        <v>0.6</v>
      </c>
      <c r="G189" s="128">
        <f>G190/B125*1000</f>
        <v>0.6</v>
      </c>
      <c r="H189" s="462"/>
      <c r="I189" s="112"/>
      <c r="J189" s="106"/>
      <c r="K189" s="106"/>
      <c r="L189" s="106"/>
      <c r="M189" s="460"/>
      <c r="N189" s="274">
        <v>0.1</v>
      </c>
      <c r="O189" s="274">
        <v>0.3</v>
      </c>
      <c r="P189" s="911"/>
      <c r="Q189" s="509"/>
      <c r="R189" s="559">
        <v>0.2</v>
      </c>
      <c r="S189" s="177">
        <v>0.6</v>
      </c>
      <c r="T189" s="181">
        <f>S189/S126*T126</f>
        <v>0.6</v>
      </c>
      <c r="U189" s="403">
        <v>1</v>
      </c>
      <c r="V189" s="184"/>
      <c r="W189" s="106"/>
      <c r="X189" s="177">
        <v>0.2</v>
      </c>
      <c r="Y189" s="128">
        <f>Y190/T125*1000</f>
        <v>0.2</v>
      </c>
      <c r="Z189" s="559">
        <v>0.2</v>
      </c>
      <c r="AA189" s="106"/>
      <c r="AB189" s="106"/>
      <c r="AC189" s="106"/>
      <c r="AD189" s="263"/>
      <c r="AE189" s="123"/>
    </row>
    <row r="190" spans="1:31" ht="15.75" customHeight="1" thickBot="1">
      <c r="A190" s="346" t="str">
        <f>A90</f>
        <v>Соль иодиров.</v>
      </c>
      <c r="B190" s="347">
        <f>B90</f>
        <v>28</v>
      </c>
      <c r="C190" s="348" t="s">
        <v>73</v>
      </c>
      <c r="D190" s="385"/>
      <c r="E190" s="353"/>
      <c r="F190" s="338">
        <f>F189*F125/1000</f>
        <v>0.06</v>
      </c>
      <c r="G190" s="339">
        <f>F190</f>
        <v>0.06</v>
      </c>
      <c r="H190" s="372"/>
      <c r="I190" s="338"/>
      <c r="J190" s="337"/>
      <c r="K190" s="337"/>
      <c r="L190" s="337"/>
      <c r="M190" s="459"/>
      <c r="N190" s="361">
        <f>N189*B125/1000</f>
        <v>0.01</v>
      </c>
      <c r="O190" s="361">
        <f>O189*B125/1000</f>
        <v>0.03</v>
      </c>
      <c r="P190" s="906"/>
      <c r="Q190" s="501"/>
      <c r="R190" s="361">
        <f>R189*B125/1000</f>
        <v>0.02</v>
      </c>
      <c r="S190" s="349">
        <f>S189*S125/1000</f>
        <v>0.06</v>
      </c>
      <c r="T190" s="339">
        <f>S190</f>
        <v>0.06</v>
      </c>
      <c r="U190" s="372">
        <f>U189*G125/1000</f>
        <v>0.1</v>
      </c>
      <c r="V190" s="341"/>
      <c r="W190" s="337"/>
      <c r="X190" s="338">
        <f>X189*X125/1000</f>
        <v>0.02</v>
      </c>
      <c r="Y190" s="339">
        <f>X190</f>
        <v>0.02</v>
      </c>
      <c r="Z190" s="361">
        <f>Z189*B125/1000</f>
        <v>0.02</v>
      </c>
      <c r="AA190" s="337"/>
      <c r="AB190" s="337"/>
      <c r="AC190" s="337"/>
      <c r="AD190" s="399">
        <f>ROUND(E190+G190+H190+J190+K190+L190+N190+O190+R190+T190+U190+V190+W190+Y190+Z190+AB190+AC190,2)</f>
        <v>0.32</v>
      </c>
      <c r="AE190" s="344">
        <f>AD190*B190</f>
        <v>8.9600000000000009</v>
      </c>
    </row>
    <row r="191" spans="1:31" ht="15.75" customHeight="1" thickTop="1">
      <c r="A191" s="133"/>
      <c r="B191" s="213"/>
      <c r="C191" s="427" t="s">
        <v>72</v>
      </c>
      <c r="D191" s="287"/>
      <c r="E191" s="268"/>
      <c r="F191" s="112"/>
      <c r="G191" s="106"/>
      <c r="H191" s="460"/>
      <c r="I191" s="177">
        <v>3.5</v>
      </c>
      <c r="J191" s="114">
        <f>I191/I126*J126</f>
        <v>3.5</v>
      </c>
      <c r="K191" s="106"/>
      <c r="L191" s="106"/>
      <c r="M191" s="106"/>
      <c r="N191" s="106"/>
      <c r="O191" s="269"/>
      <c r="P191" s="371"/>
      <c r="Q191" s="268"/>
      <c r="R191" s="268"/>
      <c r="S191" s="177"/>
      <c r="T191" s="114"/>
      <c r="U191" s="509"/>
      <c r="V191" s="137"/>
      <c r="W191" s="106"/>
      <c r="X191" s="371"/>
      <c r="Y191" s="268"/>
      <c r="Z191" s="106"/>
      <c r="AA191" s="106"/>
      <c r="AB191" s="106"/>
      <c r="AC191" s="106"/>
      <c r="AD191" s="263"/>
      <c r="AE191" s="123"/>
    </row>
    <row r="192" spans="1:31" ht="15.75" customHeight="1" thickBot="1">
      <c r="A192" s="346" t="str">
        <f>A92</f>
        <v>Лимоны</v>
      </c>
      <c r="B192" s="347">
        <f>B92</f>
        <v>190</v>
      </c>
      <c r="C192" s="348" t="s">
        <v>73</v>
      </c>
      <c r="D192" s="385"/>
      <c r="E192" s="353"/>
      <c r="F192" s="338"/>
      <c r="G192" s="337"/>
      <c r="H192" s="459"/>
      <c r="I192" s="349">
        <f>I191*F125/1000</f>
        <v>0.35</v>
      </c>
      <c r="J192" s="339">
        <f>I192</f>
        <v>0.35</v>
      </c>
      <c r="K192" s="337"/>
      <c r="L192" s="337"/>
      <c r="M192" s="337"/>
      <c r="N192" s="337"/>
      <c r="O192" s="352"/>
      <c r="P192" s="370"/>
      <c r="Q192" s="353"/>
      <c r="R192" s="353"/>
      <c r="S192" s="349"/>
      <c r="T192" s="340"/>
      <c r="U192" s="501"/>
      <c r="V192" s="341"/>
      <c r="W192" s="337"/>
      <c r="X192" s="370"/>
      <c r="Y192" s="353"/>
      <c r="Z192" s="337"/>
      <c r="AA192" s="337"/>
      <c r="AB192" s="337"/>
      <c r="AC192" s="337"/>
      <c r="AD192" s="399">
        <f>ROUND(E192+G192+H192+J192+K192+L192+O192+R192+T192+U192+V192+W192+Y192+Z192+AB192+AC192,2)</f>
        <v>0.35</v>
      </c>
      <c r="AE192" s="344">
        <f>AD192*B192</f>
        <v>66.5</v>
      </c>
    </row>
    <row r="193" spans="1:31" ht="15.75" customHeight="1" thickTop="1">
      <c r="A193" s="133"/>
      <c r="B193" s="215"/>
      <c r="C193" s="310" t="s">
        <v>72</v>
      </c>
      <c r="D193" s="695"/>
      <c r="E193" s="268"/>
      <c r="F193" s="112"/>
      <c r="G193" s="106"/>
      <c r="H193" s="460"/>
      <c r="I193" s="112"/>
      <c r="J193" s="106"/>
      <c r="K193" s="106"/>
      <c r="L193" s="106"/>
      <c r="M193" s="106"/>
      <c r="N193" s="106"/>
      <c r="O193" s="270"/>
      <c r="P193" s="371"/>
      <c r="Q193" s="272"/>
      <c r="R193" s="272"/>
      <c r="S193" s="112"/>
      <c r="T193" s="251"/>
      <c r="U193" s="560"/>
      <c r="V193" s="464"/>
      <c r="W193" s="106"/>
      <c r="X193" s="177">
        <f>4.8/80*X126</f>
        <v>4.8</v>
      </c>
      <c r="Y193" s="256">
        <f>X193/X126*Y126</f>
        <v>4.8</v>
      </c>
      <c r="Z193" s="106"/>
      <c r="AA193" s="106"/>
      <c r="AB193" s="106"/>
      <c r="AC193" s="106"/>
      <c r="AD193" s="215"/>
      <c r="AE193" s="123"/>
    </row>
    <row r="194" spans="1:31" ht="15.75" customHeight="1" thickBot="1">
      <c r="A194" s="346" t="str">
        <f>A94</f>
        <v>Манная крупа</v>
      </c>
      <c r="B194" s="347">
        <f>B94</f>
        <v>37.53</v>
      </c>
      <c r="C194" s="348" t="s">
        <v>73</v>
      </c>
      <c r="D194" s="385"/>
      <c r="E194" s="353"/>
      <c r="F194" s="338"/>
      <c r="G194" s="337"/>
      <c r="H194" s="459"/>
      <c r="I194" s="338"/>
      <c r="J194" s="337"/>
      <c r="K194" s="337"/>
      <c r="L194" s="337"/>
      <c r="M194" s="337"/>
      <c r="N194" s="337"/>
      <c r="O194" s="352"/>
      <c r="P194" s="370"/>
      <c r="Q194" s="350"/>
      <c r="R194" s="350"/>
      <c r="S194" s="338"/>
      <c r="T194" s="358"/>
      <c r="U194" s="561"/>
      <c r="V194" s="369"/>
      <c r="W194" s="337"/>
      <c r="X194" s="349">
        <f>X193*F125/1000</f>
        <v>0.48</v>
      </c>
      <c r="Y194" s="339">
        <f>ROUND(X194,2)</f>
        <v>0.48</v>
      </c>
      <c r="Z194" s="337"/>
      <c r="AA194" s="337"/>
      <c r="AB194" s="337"/>
      <c r="AC194" s="337"/>
      <c r="AD194" s="399">
        <f>ROUND(E194+G194+H194+J194+K194+L194+O194+R194+T194+U194+V194+W194+Y194+Z194+AB194+AC194,2)</f>
        <v>0.48</v>
      </c>
      <c r="AE194" s="344">
        <f>AD194*B194</f>
        <v>18.014399999999998</v>
      </c>
    </row>
    <row r="195" spans="1:31" ht="15.75" customHeight="1" thickTop="1">
      <c r="A195" s="133"/>
      <c r="B195" s="213"/>
      <c r="C195" s="427" t="s">
        <v>72</v>
      </c>
      <c r="D195" s="287"/>
      <c r="E195" s="268"/>
      <c r="F195" s="112"/>
      <c r="G195" s="106"/>
      <c r="H195" s="460"/>
      <c r="I195" s="112"/>
      <c r="J195" s="106"/>
      <c r="K195" s="106"/>
      <c r="L195" s="106"/>
      <c r="M195" s="106"/>
      <c r="N195" s="106"/>
      <c r="O195" s="270"/>
      <c r="P195" s="371"/>
      <c r="Q195" s="272"/>
      <c r="R195" s="272"/>
      <c r="S195" s="112"/>
      <c r="T195" s="181"/>
      <c r="U195" s="560"/>
      <c r="V195" s="559"/>
      <c r="W195" s="106"/>
      <c r="X195" s="371"/>
      <c r="Y195" s="499"/>
      <c r="Z195" s="106"/>
      <c r="AA195" s="106"/>
      <c r="AB195" s="106"/>
      <c r="AC195" s="106"/>
      <c r="AD195" s="215"/>
      <c r="AE195" s="124"/>
    </row>
    <row r="196" spans="1:31" ht="15.75" customHeight="1" thickBot="1">
      <c r="A196" s="346">
        <f>A96</f>
        <v>0</v>
      </c>
      <c r="B196" s="347">
        <f>B96</f>
        <v>0</v>
      </c>
      <c r="C196" s="348" t="s">
        <v>73</v>
      </c>
      <c r="D196" s="385"/>
      <c r="E196" s="353"/>
      <c r="F196" s="338"/>
      <c r="G196" s="337"/>
      <c r="H196" s="459"/>
      <c r="I196" s="338"/>
      <c r="J196" s="337"/>
      <c r="K196" s="337"/>
      <c r="L196" s="337"/>
      <c r="M196" s="337"/>
      <c r="N196" s="337"/>
      <c r="O196" s="835"/>
      <c r="P196" s="918"/>
      <c r="Q196" s="341"/>
      <c r="R196" s="341"/>
      <c r="S196" s="349"/>
      <c r="T196" s="339"/>
      <c r="U196" s="501"/>
      <c r="V196" s="341"/>
      <c r="W196" s="337"/>
      <c r="X196" s="370"/>
      <c r="Y196" s="350"/>
      <c r="Z196" s="337"/>
      <c r="AA196" s="337"/>
      <c r="AB196" s="337"/>
      <c r="AC196" s="337"/>
      <c r="AD196" s="343">
        <f>ROUND(E196+G196+H196+J196+K196+L196+O196+P196+Q196+R196+T196+V196+W196+X196+Y196+Z196+AB196+AC196,2)</f>
        <v>0</v>
      </c>
      <c r="AE196" s="368">
        <f>AD196*B196</f>
        <v>0</v>
      </c>
    </row>
    <row r="197" spans="1:31" ht="15.75" customHeight="1" thickTop="1">
      <c r="A197" s="133"/>
      <c r="B197" s="213"/>
      <c r="C197" s="427"/>
      <c r="D197" s="305"/>
      <c r="E197" s="268"/>
      <c r="F197" s="112"/>
      <c r="G197" s="106"/>
      <c r="H197" s="455"/>
      <c r="I197" s="112"/>
      <c r="J197" s="106"/>
      <c r="K197" s="106"/>
      <c r="L197" s="106"/>
      <c r="M197" s="106"/>
      <c r="N197" s="106"/>
      <c r="O197" s="106"/>
      <c r="P197" s="581"/>
      <c r="Q197" s="274"/>
      <c r="R197" s="272"/>
      <c r="S197" s="112"/>
      <c r="T197" s="438"/>
      <c r="U197" s="112"/>
      <c r="V197" s="181"/>
      <c r="W197" s="106"/>
      <c r="X197" s="106"/>
      <c r="Y197" s="127"/>
      <c r="Z197" s="106"/>
      <c r="AA197" s="106"/>
      <c r="AB197" s="106"/>
      <c r="AC197" s="106"/>
      <c r="AD197" s="215"/>
      <c r="AE197" s="124">
        <f>AE128+AE130+AE132+AE134+AE136+AE138+AE140+AE142+AE144+AE146+AE148+AE150+AE152+AE162+AE164+AE166+AE168+AE170+AE172+AE174+AE176+AE178+AE180+AE182+AE184+AE186+AE188+AE190+AE192+AE194+AE196</f>
        <v>10589.797999999997</v>
      </c>
    </row>
    <row r="198" spans="1:31">
      <c r="A198" s="43" t="s">
        <v>311</v>
      </c>
      <c r="T198" s="425"/>
      <c r="V198" s="425"/>
      <c r="W198" s="43" t="s">
        <v>30</v>
      </c>
      <c r="AE198" s="118">
        <f>L113</f>
        <v>11000</v>
      </c>
    </row>
    <row r="199" spans="1:31">
      <c r="A199" s="43" t="s">
        <v>50</v>
      </c>
      <c r="W199" s="43" t="s">
        <v>31</v>
      </c>
    </row>
    <row r="200" spans="1:31">
      <c r="A200" s="43" t="s">
        <v>320</v>
      </c>
      <c r="W200" s="43" t="s">
        <v>331</v>
      </c>
    </row>
    <row r="201" spans="1:31">
      <c r="A201" s="43" t="s">
        <v>37</v>
      </c>
      <c r="W201" s="43" t="s">
        <v>31</v>
      </c>
    </row>
    <row r="202" spans="1:31">
      <c r="A202" s="43"/>
      <c r="W202" s="9"/>
      <c r="X202" s="32"/>
    </row>
  </sheetData>
  <mergeCells count="160">
    <mergeCell ref="P157:P159"/>
    <mergeCell ref="Q157:Q159"/>
    <mergeCell ref="R157:R159"/>
    <mergeCell ref="AB157:AB159"/>
    <mergeCell ref="AC157:AC159"/>
    <mergeCell ref="S157:T159"/>
    <mergeCell ref="U157:U159"/>
    <mergeCell ref="V157:V159"/>
    <mergeCell ref="W157:W159"/>
    <mergeCell ref="X157:Y159"/>
    <mergeCell ref="Z157:Z159"/>
    <mergeCell ref="D157:D159"/>
    <mergeCell ref="E157:E159"/>
    <mergeCell ref="F157:G159"/>
    <mergeCell ref="I157:J159"/>
    <mergeCell ref="K157:K159"/>
    <mergeCell ref="L157:L159"/>
    <mergeCell ref="M157:M159"/>
    <mergeCell ref="N157:N159"/>
    <mergeCell ref="O157:O159"/>
    <mergeCell ref="AC121:AC123"/>
    <mergeCell ref="AD154:AE154"/>
    <mergeCell ref="E155:K156"/>
    <mergeCell ref="O155:X156"/>
    <mergeCell ref="Y155:AC156"/>
    <mergeCell ref="AD155:AE155"/>
    <mergeCell ref="AD156:AE156"/>
    <mergeCell ref="U121:U123"/>
    <mergeCell ref="V121:V123"/>
    <mergeCell ref="W121:W123"/>
    <mergeCell ref="D121:D123"/>
    <mergeCell ref="E121:E123"/>
    <mergeCell ref="F121:G123"/>
    <mergeCell ref="I121:J123"/>
    <mergeCell ref="K121:K123"/>
    <mergeCell ref="X121:Y123"/>
    <mergeCell ref="Z121:Z123"/>
    <mergeCell ref="AB121:AB123"/>
    <mergeCell ref="L121:L123"/>
    <mergeCell ref="M121:M123"/>
    <mergeCell ref="N121:N123"/>
    <mergeCell ref="O121:O123"/>
    <mergeCell ref="R121:R123"/>
    <mergeCell ref="S121:T123"/>
    <mergeCell ref="B110:C110"/>
    <mergeCell ref="L110:N110"/>
    <mergeCell ref="T111:Z112"/>
    <mergeCell ref="I113:K113"/>
    <mergeCell ref="L113:N113"/>
    <mergeCell ref="O113:R113"/>
    <mergeCell ref="O115:R115"/>
    <mergeCell ref="AD118:AE118"/>
    <mergeCell ref="E119:K120"/>
    <mergeCell ref="O119:X120"/>
    <mergeCell ref="Y119:AC120"/>
    <mergeCell ref="AD119:AE119"/>
    <mergeCell ref="AD120:AE120"/>
    <mergeCell ref="B108:C108"/>
    <mergeCell ref="E108:G108"/>
    <mergeCell ref="I108:K108"/>
    <mergeCell ref="L108:N108"/>
    <mergeCell ref="O108:R108"/>
    <mergeCell ref="A107:C107"/>
    <mergeCell ref="E107:G107"/>
    <mergeCell ref="I107:K107"/>
    <mergeCell ref="B109:C109"/>
    <mergeCell ref="E109:G109"/>
    <mergeCell ref="I109:K109"/>
    <mergeCell ref="L109:N109"/>
    <mergeCell ref="L107:N107"/>
    <mergeCell ref="O107:R107"/>
    <mergeCell ref="T107:Y108"/>
    <mergeCell ref="AB57:AB59"/>
    <mergeCell ref="AC57:AC59"/>
    <mergeCell ref="S103:AE103"/>
    <mergeCell ref="Z57:Z59"/>
    <mergeCell ref="M57:M59"/>
    <mergeCell ref="N57:N59"/>
    <mergeCell ref="O57:O59"/>
    <mergeCell ref="Z107:AC107"/>
    <mergeCell ref="AD107:AE107"/>
    <mergeCell ref="A106:C106"/>
    <mergeCell ref="E106:G106"/>
    <mergeCell ref="I106:K106"/>
    <mergeCell ref="L106:N106"/>
    <mergeCell ref="AD106:AE106"/>
    <mergeCell ref="S57:T59"/>
    <mergeCell ref="U57:U59"/>
    <mergeCell ref="V57:V59"/>
    <mergeCell ref="W57:W59"/>
    <mergeCell ref="X57:Y59"/>
    <mergeCell ref="P57:P59"/>
    <mergeCell ref="Q57:Q59"/>
    <mergeCell ref="R57:R59"/>
    <mergeCell ref="D57:D59"/>
    <mergeCell ref="E57:E59"/>
    <mergeCell ref="F57:G59"/>
    <mergeCell ref="I57:J59"/>
    <mergeCell ref="K57:K59"/>
    <mergeCell ref="L57:L59"/>
    <mergeCell ref="AD54:AE54"/>
    <mergeCell ref="E55:K56"/>
    <mergeCell ref="O55:X56"/>
    <mergeCell ref="Y55:AC56"/>
    <mergeCell ref="AD55:AE55"/>
    <mergeCell ref="AD56:AE56"/>
    <mergeCell ref="U21:U23"/>
    <mergeCell ref="V21:V23"/>
    <mergeCell ref="W21:W23"/>
    <mergeCell ref="O15:R15"/>
    <mergeCell ref="AD18:AE18"/>
    <mergeCell ref="E19:K20"/>
    <mergeCell ref="O19:X20"/>
    <mergeCell ref="Y19:AC20"/>
    <mergeCell ref="AD19:AE19"/>
    <mergeCell ref="AD20:AE20"/>
    <mergeCell ref="D21:D23"/>
    <mergeCell ref="E21:E23"/>
    <mergeCell ref="F21:G23"/>
    <mergeCell ref="I21:J23"/>
    <mergeCell ref="K21:K23"/>
    <mergeCell ref="X21:Y23"/>
    <mergeCell ref="Z21:Z23"/>
    <mergeCell ref="AB21:AB23"/>
    <mergeCell ref="L21:L23"/>
    <mergeCell ref="M21:M23"/>
    <mergeCell ref="N21:N23"/>
    <mergeCell ref="O21:O23"/>
    <mergeCell ref="R21:R23"/>
    <mergeCell ref="S21:T23"/>
    <mergeCell ref="AC21:AC23"/>
    <mergeCell ref="B9:C9"/>
    <mergeCell ref="E9:G9"/>
    <mergeCell ref="I9:K9"/>
    <mergeCell ref="L9:N9"/>
    <mergeCell ref="B10:C10"/>
    <mergeCell ref="L10:N10"/>
    <mergeCell ref="T11:Z12"/>
    <mergeCell ref="I13:K13"/>
    <mergeCell ref="L13:N13"/>
    <mergeCell ref="O13:R13"/>
    <mergeCell ref="L7:N7"/>
    <mergeCell ref="O7:R7"/>
    <mergeCell ref="T7:Y8"/>
    <mergeCell ref="S3:AE3"/>
    <mergeCell ref="A6:C6"/>
    <mergeCell ref="E6:G6"/>
    <mergeCell ref="I6:K6"/>
    <mergeCell ref="L6:N6"/>
    <mergeCell ref="AD6:AE6"/>
    <mergeCell ref="Z7:AC7"/>
    <mergeCell ref="AD7:AE7"/>
    <mergeCell ref="B8:C8"/>
    <mergeCell ref="E8:G8"/>
    <mergeCell ref="I8:K8"/>
    <mergeCell ref="L8:N8"/>
    <mergeCell ref="O8:R8"/>
    <mergeCell ref="A7:C7"/>
    <mergeCell ref="E7:G7"/>
    <mergeCell ref="I7:K7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94"/>
  <sheetViews>
    <sheetView showGridLines="0" topLeftCell="A178" zoomScale="93" zoomScaleNormal="93" workbookViewId="0">
      <selection activeCell="K180" sqref="K180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4.85546875" customWidth="1"/>
    <col min="5" max="5" width="7.42578125" customWidth="1"/>
    <col min="6" max="6" width="6.7109375" customWidth="1"/>
    <col min="7" max="7" width="8.42578125" customWidth="1"/>
    <col min="8" max="8" width="5.28515625" customWidth="1"/>
    <col min="9" max="9" width="8.28515625" customWidth="1"/>
    <col min="10" max="10" width="6.85546875" customWidth="1"/>
    <col min="11" max="12" width="7" customWidth="1"/>
    <col min="13" max="13" width="7.140625" customWidth="1"/>
    <col min="14" max="14" width="6.5703125" customWidth="1"/>
    <col min="15" max="15" width="7.140625" customWidth="1"/>
    <col min="16" max="16" width="7" customWidth="1"/>
    <col min="17" max="17" width="6.42578125" customWidth="1"/>
    <col min="18" max="18" width="6.7109375" customWidth="1"/>
    <col min="19" max="19" width="6.5703125" customWidth="1"/>
    <col min="20" max="20" width="6.85546875" customWidth="1"/>
    <col min="21" max="21" width="7.140625" customWidth="1"/>
    <col min="22" max="22" width="8.140625" customWidth="1"/>
    <col min="23" max="23" width="7.85546875" customWidth="1"/>
    <col min="24" max="24" width="6.85546875" customWidth="1"/>
    <col min="25" max="25" width="8.140625" customWidth="1"/>
    <col min="26" max="26" width="11.140625" customWidth="1"/>
    <col min="27" max="27" width="2.140625" customWidth="1"/>
    <col min="28" max="28" width="5.5703125" customWidth="1"/>
  </cols>
  <sheetData>
    <row r="1" spans="1:33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7"/>
      <c r="W1" s="10"/>
      <c r="X1" s="10"/>
      <c r="Y1" s="11"/>
      <c r="Z1" s="11"/>
      <c r="AA1" s="7"/>
      <c r="AB1" s="7"/>
      <c r="AC1" s="7"/>
      <c r="AD1" s="7"/>
      <c r="AE1" s="7"/>
      <c r="AF1" s="7"/>
      <c r="AG1" s="7"/>
    </row>
    <row r="2" spans="1:33" ht="15" customHeight="1">
      <c r="A2" s="3" t="s">
        <v>321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V2" s="10"/>
      <c r="W2" s="10"/>
      <c r="X2" s="10"/>
      <c r="Y2" s="10"/>
      <c r="Z2" s="11"/>
      <c r="AA2" s="11"/>
      <c r="AB2" s="11"/>
      <c r="AC2" s="7"/>
      <c r="AD2" s="7"/>
      <c r="AE2" s="7"/>
      <c r="AF2" s="7"/>
      <c r="AG2" s="7"/>
    </row>
    <row r="3" spans="1:33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1060" t="s">
        <v>80</v>
      </c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720"/>
      <c r="AC3" s="115"/>
      <c r="AD3" s="7"/>
      <c r="AE3" s="7"/>
      <c r="AF3" s="7"/>
      <c r="AG3" s="7"/>
    </row>
    <row r="4" spans="1:33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AC4" s="7"/>
      <c r="AD4" s="7"/>
      <c r="AE4" s="7"/>
      <c r="AF4" s="7"/>
      <c r="AG4" s="7"/>
    </row>
    <row r="5" spans="1:33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2"/>
      <c r="N5" s="3"/>
      <c r="O5" s="3"/>
      <c r="P5" s="2"/>
      <c r="Q5" s="2"/>
      <c r="R5" s="2"/>
      <c r="S5" s="1"/>
      <c r="T5" s="1"/>
      <c r="U5" s="7"/>
      <c r="V5" s="7"/>
      <c r="W5" s="7"/>
      <c r="X5" s="7"/>
      <c r="Y5" s="7"/>
      <c r="AC5" s="7"/>
      <c r="AD5" s="7"/>
      <c r="AE5" s="7"/>
      <c r="AF5" s="7"/>
      <c r="AG5" s="7"/>
    </row>
    <row r="6" spans="1:33" ht="15.75" customHeight="1" thickBot="1">
      <c r="A6" s="1048" t="s">
        <v>42</v>
      </c>
      <c r="B6" s="1048"/>
      <c r="C6" s="1048"/>
      <c r="D6" s="713"/>
      <c r="E6" s="1047" t="s">
        <v>35</v>
      </c>
      <c r="F6" s="1048"/>
      <c r="G6" s="1049"/>
      <c r="H6" s="1047" t="s">
        <v>60</v>
      </c>
      <c r="I6" s="1047"/>
      <c r="J6" s="1049"/>
      <c r="K6" s="1047" t="s">
        <v>58</v>
      </c>
      <c r="L6" s="1048"/>
      <c r="M6" s="1048"/>
      <c r="N6" s="31"/>
      <c r="O6" s="29"/>
      <c r="P6" s="21"/>
      <c r="Q6" s="21"/>
      <c r="R6" s="3"/>
      <c r="S6" s="7"/>
      <c r="T6" s="7"/>
      <c r="U6" s="7"/>
      <c r="V6" s="7"/>
      <c r="W6" s="7"/>
      <c r="X6" s="7"/>
      <c r="Y6" s="7"/>
      <c r="Z6" s="1088" t="s">
        <v>0</v>
      </c>
      <c r="AA6" s="1089"/>
      <c r="AB6" s="717"/>
      <c r="AC6" s="7"/>
      <c r="AD6" s="7"/>
      <c r="AE6" s="7"/>
      <c r="AF6" s="7"/>
      <c r="AG6" s="7"/>
    </row>
    <row r="7" spans="1:33" ht="11.25" customHeight="1">
      <c r="A7" s="1059" t="s">
        <v>43</v>
      </c>
      <c r="B7" s="1059"/>
      <c r="C7" s="1059"/>
      <c r="D7" s="717"/>
      <c r="E7" s="1065" t="s">
        <v>34</v>
      </c>
      <c r="F7" s="1066"/>
      <c r="G7" s="1067"/>
      <c r="H7" s="1065" t="s">
        <v>12</v>
      </c>
      <c r="I7" s="1065"/>
      <c r="J7" s="1067"/>
      <c r="K7" s="1065" t="s">
        <v>15</v>
      </c>
      <c r="L7" s="1066"/>
      <c r="M7" s="1108"/>
      <c r="N7" s="1065" t="s">
        <v>14</v>
      </c>
      <c r="O7" s="1066"/>
      <c r="P7" s="1067"/>
      <c r="Q7" s="718" t="s">
        <v>196</v>
      </c>
      <c r="R7" s="1092" t="s">
        <v>221</v>
      </c>
      <c r="S7" s="1093"/>
      <c r="T7" s="1093"/>
      <c r="U7" s="1093"/>
      <c r="V7" s="1093"/>
      <c r="W7" s="1093"/>
      <c r="X7" s="1050" t="s">
        <v>190</v>
      </c>
      <c r="Y7" s="1156"/>
      <c r="Z7" s="1090" t="s">
        <v>23</v>
      </c>
      <c r="AA7" s="1091"/>
      <c r="AB7" s="682"/>
      <c r="AC7" s="7"/>
      <c r="AD7" s="7"/>
      <c r="AE7" s="7"/>
      <c r="AF7" s="7"/>
      <c r="AG7" s="7"/>
    </row>
    <row r="8" spans="1:33" ht="10.5" customHeight="1" thickBot="1">
      <c r="A8" s="721" t="s">
        <v>44</v>
      </c>
      <c r="B8" s="1047" t="s">
        <v>46</v>
      </c>
      <c r="C8" s="1048"/>
      <c r="D8" s="717"/>
      <c r="E8" s="1065" t="s">
        <v>39</v>
      </c>
      <c r="F8" s="1066"/>
      <c r="G8" s="1067"/>
      <c r="H8" s="1065" t="s">
        <v>49</v>
      </c>
      <c r="I8" s="1065"/>
      <c r="J8" s="1067"/>
      <c r="K8" s="1065" t="s">
        <v>59</v>
      </c>
      <c r="L8" s="1066"/>
      <c r="M8" s="1066"/>
      <c r="N8" s="1065" t="s">
        <v>40</v>
      </c>
      <c r="O8" s="1066"/>
      <c r="P8" s="1067"/>
      <c r="Q8" s="718" t="s">
        <v>197</v>
      </c>
      <c r="R8" s="1093"/>
      <c r="S8" s="1093"/>
      <c r="T8" s="1093"/>
      <c r="U8" s="1093"/>
      <c r="V8" s="1093"/>
      <c r="W8" s="1093"/>
      <c r="Z8" s="53"/>
      <c r="AA8" s="56"/>
      <c r="AB8" s="32"/>
      <c r="AC8" s="7"/>
      <c r="AD8" s="7"/>
      <c r="AE8" s="7"/>
      <c r="AF8" s="7"/>
      <c r="AG8" s="7"/>
    </row>
    <row r="9" spans="1:33" ht="17.25" customHeight="1" thickBot="1">
      <c r="A9" s="718" t="s">
        <v>45</v>
      </c>
      <c r="B9" s="1065" t="s">
        <v>47</v>
      </c>
      <c r="C9" s="1108"/>
      <c r="D9" s="719"/>
      <c r="E9" s="1065" t="s">
        <v>38</v>
      </c>
      <c r="F9" s="1066"/>
      <c r="G9" s="1067"/>
      <c r="H9" s="1065" t="s">
        <v>13</v>
      </c>
      <c r="I9" s="1065"/>
      <c r="J9" s="1067"/>
      <c r="K9" s="1065" t="s">
        <v>38</v>
      </c>
      <c r="L9" s="1066"/>
      <c r="M9" s="1066"/>
      <c r="N9" s="25"/>
      <c r="O9" s="3"/>
      <c r="P9" s="17"/>
      <c r="Q9" s="718" t="s">
        <v>198</v>
      </c>
      <c r="R9" s="3" t="s">
        <v>194</v>
      </c>
      <c r="S9" s="548"/>
      <c r="T9" s="548"/>
      <c r="U9" s="120"/>
      <c r="V9" s="120"/>
      <c r="W9" s="120"/>
      <c r="X9" s="120"/>
      <c r="Y9" s="746" t="s">
        <v>191</v>
      </c>
      <c r="Z9" s="701"/>
      <c r="AA9" s="708"/>
      <c r="AB9" s="722"/>
      <c r="AC9" s="120"/>
      <c r="AD9" s="7"/>
      <c r="AE9" s="7"/>
      <c r="AF9" s="7"/>
      <c r="AG9" s="7"/>
    </row>
    <row r="10" spans="1:33" ht="6.75" customHeight="1">
      <c r="A10" s="17"/>
      <c r="B10" s="1058" t="s">
        <v>48</v>
      </c>
      <c r="C10" s="1059"/>
      <c r="D10" s="717"/>
      <c r="E10" s="722"/>
      <c r="F10" s="3"/>
      <c r="G10" s="30"/>
      <c r="H10" s="3"/>
      <c r="I10" s="3"/>
      <c r="J10" s="30"/>
      <c r="K10" s="1058"/>
      <c r="L10" s="1059"/>
      <c r="M10" s="1059"/>
      <c r="N10" s="25"/>
      <c r="O10" s="3"/>
      <c r="P10" s="17"/>
      <c r="Q10" s="17"/>
      <c r="S10" s="709" t="s">
        <v>96</v>
      </c>
      <c r="Y10" s="32"/>
      <c r="Z10" s="702"/>
      <c r="AA10" s="703"/>
      <c r="AB10" s="32"/>
    </row>
    <row r="11" spans="1:33" ht="11.25" customHeight="1" thickBot="1">
      <c r="A11" s="58">
        <v>1</v>
      </c>
      <c r="B11" s="62"/>
      <c r="C11" s="63">
        <v>2</v>
      </c>
      <c r="D11" s="292"/>
      <c r="E11" s="714"/>
      <c r="F11" s="714">
        <v>3</v>
      </c>
      <c r="G11" s="715"/>
      <c r="H11" s="714"/>
      <c r="I11" s="714">
        <v>4</v>
      </c>
      <c r="J11" s="715"/>
      <c r="K11" s="714"/>
      <c r="L11" s="714"/>
      <c r="M11" s="714">
        <v>5</v>
      </c>
      <c r="N11" s="716"/>
      <c r="O11" s="714">
        <v>6</v>
      </c>
      <c r="P11" s="715"/>
      <c r="Q11" s="712">
        <v>7</v>
      </c>
      <c r="R11" s="1074" t="s">
        <v>307</v>
      </c>
      <c r="S11" s="1061"/>
      <c r="T11" s="1061"/>
      <c r="U11" s="1061"/>
      <c r="V11" s="1061"/>
      <c r="W11" s="1061"/>
      <c r="X11" s="1061"/>
      <c r="Y11" s="699" t="s">
        <v>199</v>
      </c>
      <c r="Z11" s="705"/>
      <c r="AA11" s="704"/>
      <c r="AB11" s="8"/>
      <c r="AC11" s="7"/>
      <c r="AD11" s="7"/>
      <c r="AE11" s="7"/>
      <c r="AF11" s="7"/>
      <c r="AG11" s="7"/>
    </row>
    <row r="12" spans="1:33" ht="9" customHeight="1">
      <c r="A12" s="37"/>
      <c r="B12" s="38"/>
      <c r="C12" s="38"/>
      <c r="D12" s="38"/>
      <c r="E12" s="38"/>
      <c r="F12" s="38"/>
      <c r="G12" s="39"/>
      <c r="H12" s="38"/>
      <c r="I12" s="38"/>
      <c r="J12" s="39"/>
      <c r="K12" s="38"/>
      <c r="L12" s="38"/>
      <c r="M12" s="38"/>
      <c r="N12" s="40"/>
      <c r="O12" s="38"/>
      <c r="P12" s="39"/>
      <c r="Q12" s="42"/>
      <c r="R12" s="1061"/>
      <c r="S12" s="1061"/>
      <c r="T12" s="1061"/>
      <c r="U12" s="1061"/>
      <c r="V12" s="1061"/>
      <c r="W12" s="1061"/>
      <c r="X12" s="1061"/>
      <c r="Y12" s="56"/>
      <c r="Z12" s="32"/>
      <c r="AA12" s="707"/>
      <c r="AB12" s="8"/>
      <c r="AC12" s="7"/>
      <c r="AD12" s="7"/>
      <c r="AE12" s="7"/>
      <c r="AF12" s="7"/>
      <c r="AG12" s="7"/>
    </row>
    <row r="13" spans="1:33" ht="18" customHeight="1" thickBot="1">
      <c r="A13" s="780" t="s">
        <v>202</v>
      </c>
      <c r="B13" s="28"/>
      <c r="C13" s="28"/>
      <c r="D13" s="28"/>
      <c r="E13" s="28"/>
      <c r="F13" s="28"/>
      <c r="G13" s="218">
        <v>110</v>
      </c>
      <c r="H13" s="1113">
        <f>B25</f>
        <v>100</v>
      </c>
      <c r="I13" s="1114"/>
      <c r="J13" s="1069"/>
      <c r="K13" s="1075">
        <f>G13*H13</f>
        <v>11000</v>
      </c>
      <c r="L13" s="1114"/>
      <c r="M13" s="1069"/>
      <c r="N13" s="1068">
        <f>Z93/B25</f>
        <v>110.60919799999999</v>
      </c>
      <c r="O13" s="1115"/>
      <c r="P13" s="1069"/>
      <c r="Q13" s="52"/>
      <c r="R13" s="3"/>
      <c r="S13" s="710" t="s">
        <v>332</v>
      </c>
      <c r="T13" s="2"/>
      <c r="U13" s="538"/>
      <c r="V13" s="7"/>
      <c r="W13" s="7"/>
      <c r="X13" s="7"/>
      <c r="Y13" s="699"/>
      <c r="Z13" s="7"/>
      <c r="AA13" s="704"/>
      <c r="AB13" s="7"/>
      <c r="AC13" s="7"/>
      <c r="AD13" s="7"/>
      <c r="AE13" s="7"/>
      <c r="AF13" s="7"/>
      <c r="AG13" s="7"/>
    </row>
    <row r="14" spans="1:33" ht="8.2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49"/>
      <c r="K14" s="28"/>
      <c r="L14" s="28"/>
      <c r="M14" s="28"/>
      <c r="N14" s="51"/>
      <c r="O14" s="28"/>
      <c r="P14" s="27"/>
      <c r="Q14" s="52"/>
      <c r="R14" s="3"/>
      <c r="S14" s="7"/>
      <c r="T14" s="7"/>
      <c r="X14" s="32"/>
      <c r="Y14" s="56"/>
      <c r="Z14" s="41"/>
      <c r="AA14" s="707"/>
      <c r="AB14" s="8"/>
      <c r="AC14" s="7"/>
      <c r="AD14" s="7"/>
      <c r="AE14" s="7"/>
      <c r="AF14" s="7"/>
      <c r="AG14" s="7"/>
    </row>
    <row r="15" spans="1:33" ht="15" customHeight="1" thickBot="1">
      <c r="A15" s="769"/>
      <c r="B15" s="38"/>
      <c r="C15" s="38"/>
      <c r="D15" s="38"/>
      <c r="E15" s="38"/>
      <c r="F15" s="38"/>
      <c r="G15" s="38"/>
      <c r="H15" s="38"/>
      <c r="I15" s="3" t="s">
        <v>33</v>
      </c>
      <c r="J15" s="42"/>
      <c r="K15" s="45"/>
      <c r="L15" s="45"/>
      <c r="M15" s="45"/>
      <c r="N15" s="1116">
        <f>N13*B25</f>
        <v>11060.9198</v>
      </c>
      <c r="O15" s="1117"/>
      <c r="P15" s="1118"/>
      <c r="Q15" s="47"/>
      <c r="R15" s="3" t="s">
        <v>193</v>
      </c>
      <c r="S15" s="7"/>
      <c r="T15" s="7"/>
      <c r="U15" s="549"/>
      <c r="V15" s="711" t="s">
        <v>309</v>
      </c>
      <c r="Y15" s="56"/>
      <c r="Z15" s="66"/>
      <c r="AA15" s="704"/>
      <c r="AB15" s="8"/>
      <c r="AC15" s="7"/>
      <c r="AD15" s="7"/>
      <c r="AE15" s="7"/>
      <c r="AF15" s="7"/>
      <c r="AG15" s="7"/>
    </row>
    <row r="16" spans="1:33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770"/>
      <c r="L16" s="770"/>
      <c r="M16" s="770"/>
      <c r="N16" s="770"/>
      <c r="O16" s="770"/>
      <c r="P16" s="770"/>
      <c r="Q16" s="770"/>
      <c r="R16" s="3"/>
      <c r="S16" s="7"/>
      <c r="T16" s="7"/>
      <c r="Y16" s="32"/>
      <c r="Z16" s="32"/>
      <c r="AC16" s="7"/>
      <c r="AD16" s="7"/>
      <c r="AE16" s="7"/>
      <c r="AF16" s="7"/>
      <c r="AG16" s="7"/>
    </row>
    <row r="17" spans="1:33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7"/>
      <c r="AG17" s="7"/>
    </row>
    <row r="18" spans="1:33" ht="12" customHeight="1">
      <c r="A18" s="26" t="s">
        <v>53</v>
      </c>
      <c r="B18" s="20"/>
      <c r="C18" s="65"/>
      <c r="D18" s="6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8" t="s">
        <v>41</v>
      </c>
      <c r="P18" s="14"/>
      <c r="Q18" s="14"/>
      <c r="R18" s="14"/>
      <c r="S18" s="28"/>
      <c r="T18" s="28"/>
      <c r="U18" s="14"/>
      <c r="V18" s="14"/>
      <c r="W18" s="14"/>
      <c r="X18" s="14"/>
      <c r="Y18" s="1047" t="s">
        <v>8</v>
      </c>
      <c r="Z18" s="1048"/>
      <c r="AA18" s="7"/>
      <c r="AB18" s="7"/>
      <c r="AC18" s="7"/>
      <c r="AD18" s="7"/>
      <c r="AE18" s="7"/>
      <c r="AF18" s="7"/>
      <c r="AG18" s="7"/>
    </row>
    <row r="19" spans="1:33" ht="12" customHeight="1">
      <c r="A19" s="158"/>
      <c r="B19" s="19"/>
      <c r="C19" s="803" t="s">
        <v>52</v>
      </c>
      <c r="D19" s="1139" t="s">
        <v>232</v>
      </c>
      <c r="E19" s="1165"/>
      <c r="F19" s="1165"/>
      <c r="G19" s="1165"/>
      <c r="H19" s="1165"/>
      <c r="I19" s="1165"/>
      <c r="J19" s="1165"/>
      <c r="K19" s="1176"/>
      <c r="L19" s="812"/>
      <c r="M19" s="594"/>
      <c r="N19" s="1052" t="s">
        <v>16</v>
      </c>
      <c r="O19" s="1052"/>
      <c r="P19" s="1052"/>
      <c r="Q19" s="1052"/>
      <c r="R19" s="1052"/>
      <c r="S19" s="1052"/>
      <c r="T19" s="1087"/>
      <c r="U19" s="1139" t="s">
        <v>17</v>
      </c>
      <c r="V19" s="1052"/>
      <c r="W19" s="1052"/>
      <c r="X19" s="1087"/>
      <c r="Y19" s="1059" t="s">
        <v>3</v>
      </c>
      <c r="Z19" s="1059"/>
      <c r="AA19" s="7"/>
      <c r="AB19" s="7"/>
      <c r="AC19" s="7"/>
      <c r="AD19" s="7"/>
      <c r="AE19" s="7"/>
      <c r="AF19" s="7"/>
      <c r="AG19" s="7"/>
    </row>
    <row r="20" spans="1:33" ht="6.75" customHeight="1">
      <c r="A20" s="157"/>
      <c r="B20" s="5"/>
      <c r="C20" s="805" t="s">
        <v>51</v>
      </c>
      <c r="D20" s="1166"/>
      <c r="E20" s="1167"/>
      <c r="F20" s="1167"/>
      <c r="G20" s="1167"/>
      <c r="H20" s="1167"/>
      <c r="I20" s="1167"/>
      <c r="J20" s="1167"/>
      <c r="K20" s="1177"/>
      <c r="L20" s="811"/>
      <c r="M20" s="595"/>
      <c r="N20" s="1054"/>
      <c r="O20" s="1054"/>
      <c r="P20" s="1054"/>
      <c r="Q20" s="1054"/>
      <c r="R20" s="1054"/>
      <c r="S20" s="1054"/>
      <c r="T20" s="1086"/>
      <c r="U20" s="1140"/>
      <c r="V20" s="1054"/>
      <c r="W20" s="1054"/>
      <c r="X20" s="1086"/>
      <c r="Y20" s="1048" t="s">
        <v>36</v>
      </c>
      <c r="Z20" s="1048"/>
      <c r="AA20" s="8"/>
      <c r="AB20" s="8"/>
      <c r="AC20" s="7"/>
      <c r="AD20" s="7"/>
      <c r="AE20" s="7"/>
      <c r="AF20" s="7"/>
      <c r="AG20" s="7"/>
    </row>
    <row r="21" spans="1:33" ht="10.5" customHeight="1">
      <c r="A21" s="157" t="s">
        <v>54</v>
      </c>
      <c r="B21" s="5"/>
      <c r="C21" s="70" t="s">
        <v>9</v>
      </c>
      <c r="D21" s="1101" t="s">
        <v>168</v>
      </c>
      <c r="E21" s="1081" t="s">
        <v>169</v>
      </c>
      <c r="F21" s="1041" t="s">
        <v>164</v>
      </c>
      <c r="G21" s="1123" t="s">
        <v>165</v>
      </c>
      <c r="H21" s="1041" t="s">
        <v>155</v>
      </c>
      <c r="I21" s="1038"/>
      <c r="J21" s="1038" t="s">
        <v>163</v>
      </c>
      <c r="K21" s="1041" t="s">
        <v>131</v>
      </c>
      <c r="L21" s="1044" t="s">
        <v>231</v>
      </c>
      <c r="M21" s="1152" t="s">
        <v>181</v>
      </c>
      <c r="N21" s="1153"/>
      <c r="O21" s="1044" t="s">
        <v>114</v>
      </c>
      <c r="P21" s="1038" t="s">
        <v>150</v>
      </c>
      <c r="Q21" s="1035" t="s">
        <v>233</v>
      </c>
      <c r="R21" s="1038"/>
      <c r="S21" s="1041" t="s">
        <v>115</v>
      </c>
      <c r="T21" s="1044" t="s">
        <v>68</v>
      </c>
      <c r="U21" s="1041" t="s">
        <v>133</v>
      </c>
      <c r="V21" s="1096"/>
      <c r="W21" s="1038" t="s">
        <v>83</v>
      </c>
      <c r="X21" s="1038" t="s">
        <v>70</v>
      </c>
      <c r="Y21" s="24"/>
      <c r="Z21" s="23"/>
      <c r="AA21" s="7"/>
      <c r="AB21" s="7"/>
      <c r="AC21" s="7"/>
      <c r="AD21" s="7"/>
      <c r="AE21" s="7"/>
      <c r="AF21" s="7"/>
      <c r="AG21" s="7"/>
    </row>
    <row r="22" spans="1:33" ht="10.5" customHeight="1">
      <c r="A22" s="157"/>
      <c r="B22" s="5"/>
      <c r="C22" s="70" t="s">
        <v>10</v>
      </c>
      <c r="D22" s="1102"/>
      <c r="E22" s="1082"/>
      <c r="F22" s="1042"/>
      <c r="G22" s="1124"/>
      <c r="H22" s="1042"/>
      <c r="I22" s="1039"/>
      <c r="J22" s="1039"/>
      <c r="K22" s="1042"/>
      <c r="L22" s="1045"/>
      <c r="M22" s="1154"/>
      <c r="N22" s="1146"/>
      <c r="O22" s="1045"/>
      <c r="P22" s="1039"/>
      <c r="Q22" s="1036"/>
      <c r="R22" s="1039"/>
      <c r="S22" s="1042"/>
      <c r="T22" s="1045"/>
      <c r="U22" s="1042"/>
      <c r="V22" s="1098"/>
      <c r="W22" s="1039"/>
      <c r="X22" s="1039"/>
      <c r="Y22" s="19" t="s">
        <v>6</v>
      </c>
      <c r="Z22" s="156" t="s">
        <v>4</v>
      </c>
      <c r="AA22" s="7"/>
      <c r="AB22" s="7"/>
      <c r="AC22" s="7"/>
      <c r="AD22" s="7"/>
      <c r="AE22" s="7"/>
      <c r="AF22" s="7"/>
      <c r="AG22" s="7"/>
    </row>
    <row r="23" spans="1:33" ht="93.75" customHeight="1">
      <c r="A23" s="159"/>
      <c r="B23" s="4"/>
      <c r="C23" s="71"/>
      <c r="D23" s="1103"/>
      <c r="E23" s="1083"/>
      <c r="F23" s="1043"/>
      <c r="G23" s="1125"/>
      <c r="H23" s="1043"/>
      <c r="I23" s="1040"/>
      <c r="J23" s="1040"/>
      <c r="K23" s="1043"/>
      <c r="L23" s="1046"/>
      <c r="M23" s="1155"/>
      <c r="N23" s="1131"/>
      <c r="O23" s="1046"/>
      <c r="P23" s="1040"/>
      <c r="Q23" s="1037"/>
      <c r="R23" s="1040"/>
      <c r="S23" s="1043"/>
      <c r="T23" s="1046"/>
      <c r="U23" s="1043"/>
      <c r="V23" s="1100"/>
      <c r="W23" s="1040"/>
      <c r="X23" s="1040"/>
      <c r="Y23" s="284" t="s">
        <v>7</v>
      </c>
      <c r="Z23" s="155" t="s">
        <v>5</v>
      </c>
      <c r="AA23" s="7"/>
      <c r="AB23" s="7"/>
      <c r="AC23" s="7"/>
      <c r="AD23" s="7"/>
      <c r="AE23" s="7"/>
      <c r="AF23" s="7"/>
      <c r="AG23" s="7"/>
    </row>
    <row r="24" spans="1:33" ht="11.25" customHeight="1">
      <c r="A24" s="64">
        <v>1</v>
      </c>
      <c r="B24" s="34">
        <v>2</v>
      </c>
      <c r="C24" s="72">
        <v>3</v>
      </c>
      <c r="D24" s="260">
        <v>4</v>
      </c>
      <c r="E24" s="80">
        <v>5</v>
      </c>
      <c r="F24" s="86">
        <v>6</v>
      </c>
      <c r="G24" s="76">
        <v>7</v>
      </c>
      <c r="H24" s="87">
        <v>8</v>
      </c>
      <c r="I24" s="80">
        <v>9</v>
      </c>
      <c r="J24" s="81">
        <v>10</v>
      </c>
      <c r="K24" s="96">
        <v>11</v>
      </c>
      <c r="L24" s="96">
        <v>12</v>
      </c>
      <c r="M24" s="262">
        <v>13</v>
      </c>
      <c r="N24" s="80">
        <v>14</v>
      </c>
      <c r="O24" s="81">
        <v>15</v>
      </c>
      <c r="P24" s="80">
        <v>16</v>
      </c>
      <c r="Q24" s="97">
        <v>17</v>
      </c>
      <c r="R24" s="93">
        <v>18</v>
      </c>
      <c r="S24" s="96">
        <v>19</v>
      </c>
      <c r="T24" s="98">
        <v>20</v>
      </c>
      <c r="U24" s="691">
        <v>21</v>
      </c>
      <c r="V24" s="93">
        <v>22</v>
      </c>
      <c r="W24" s="80">
        <v>23</v>
      </c>
      <c r="X24" s="96">
        <v>24</v>
      </c>
      <c r="Y24" s="86">
        <v>25</v>
      </c>
      <c r="Z24" s="36">
        <v>26</v>
      </c>
      <c r="AA24" s="7"/>
      <c r="AB24" s="7"/>
      <c r="AC24" s="7"/>
      <c r="AD24" s="7"/>
      <c r="AE24" s="7"/>
      <c r="AF24" s="7"/>
      <c r="AG24" s="7"/>
    </row>
    <row r="25" spans="1:33" ht="15.95" customHeight="1">
      <c r="A25" s="16" t="s">
        <v>18</v>
      </c>
      <c r="B25" s="221">
        <v>100</v>
      </c>
      <c r="C25" s="73"/>
      <c r="D25" s="299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471">
        <f>B25</f>
        <v>100</v>
      </c>
      <c r="K25" s="99">
        <f>B25</f>
        <v>100</v>
      </c>
      <c r="L25" s="99">
        <f>B25</f>
        <v>100</v>
      </c>
      <c r="M25" s="677">
        <f>F25</f>
        <v>100</v>
      </c>
      <c r="N25" s="99">
        <f>B25</f>
        <v>100</v>
      </c>
      <c r="O25" s="160">
        <f>B25</f>
        <v>100</v>
      </c>
      <c r="P25" s="99">
        <f>B25</f>
        <v>100</v>
      </c>
      <c r="Q25" s="109">
        <f>F25</f>
        <v>100</v>
      </c>
      <c r="R25" s="99">
        <f>B25</f>
        <v>100</v>
      </c>
      <c r="S25" s="99">
        <f>B25</f>
        <v>100</v>
      </c>
      <c r="T25" s="99">
        <f>B25</f>
        <v>100</v>
      </c>
      <c r="U25" s="436">
        <f>F25</f>
        <v>100</v>
      </c>
      <c r="V25" s="99">
        <f>B25</f>
        <v>100</v>
      </c>
      <c r="W25" s="99">
        <f>B25</f>
        <v>100</v>
      </c>
      <c r="X25" s="99">
        <f>B25</f>
        <v>100</v>
      </c>
      <c r="Y25" s="285" t="s">
        <v>66</v>
      </c>
      <c r="Z25" s="68" t="s">
        <v>64</v>
      </c>
      <c r="AA25" s="7"/>
      <c r="AB25" s="7"/>
      <c r="AC25" s="7"/>
      <c r="AD25" s="7"/>
      <c r="AE25" s="7"/>
      <c r="AF25" s="7"/>
    </row>
    <row r="26" spans="1:33" ht="15.95" customHeight="1" thickBot="1">
      <c r="A26" s="59" t="s">
        <v>19</v>
      </c>
      <c r="B26" s="60"/>
      <c r="C26" s="74"/>
      <c r="D26" s="300">
        <v>25</v>
      </c>
      <c r="E26" s="301">
        <f>D26*F25/B25</f>
        <v>25</v>
      </c>
      <c r="F26" s="91">
        <v>150</v>
      </c>
      <c r="G26" s="119">
        <f>F26*F25/B25</f>
        <v>150</v>
      </c>
      <c r="H26" s="91">
        <v>180</v>
      </c>
      <c r="I26" s="119">
        <f>H26*H25/B25</f>
        <v>180</v>
      </c>
      <c r="J26" s="119">
        <f>J68/B25*1000</f>
        <v>20</v>
      </c>
      <c r="K26" s="119">
        <f>K50/B25*1000</f>
        <v>100</v>
      </c>
      <c r="L26" s="119">
        <v>50</v>
      </c>
      <c r="M26" s="138">
        <v>20</v>
      </c>
      <c r="N26" s="119">
        <f>M26*M25/B25</f>
        <v>20</v>
      </c>
      <c r="O26" s="100">
        <v>180</v>
      </c>
      <c r="P26" s="119">
        <v>100</v>
      </c>
      <c r="Q26" s="111">
        <v>80</v>
      </c>
      <c r="R26" s="119">
        <f>Q26*Q25/B25</f>
        <v>80</v>
      </c>
      <c r="S26" s="100">
        <v>180</v>
      </c>
      <c r="T26" s="119">
        <f>T70/B25*1000</f>
        <v>40</v>
      </c>
      <c r="U26" s="91">
        <v>100</v>
      </c>
      <c r="V26" s="119">
        <f>U26*U25/B25</f>
        <v>100</v>
      </c>
      <c r="W26" s="100">
        <v>180</v>
      </c>
      <c r="X26" s="119">
        <f>X72/B25*1000</f>
        <v>20</v>
      </c>
      <c r="Y26" s="286"/>
      <c r="Z26" s="69"/>
      <c r="AA26" s="7"/>
      <c r="AB26" s="7"/>
      <c r="AC26" s="7"/>
      <c r="AD26" s="7"/>
      <c r="AE26" s="7"/>
      <c r="AF26" s="7"/>
    </row>
    <row r="27" spans="1:33" ht="15" customHeight="1" thickTop="1">
      <c r="A27" s="133"/>
      <c r="B27" s="5" t="s">
        <v>65</v>
      </c>
      <c r="C27" s="77" t="s">
        <v>72</v>
      </c>
      <c r="D27" s="296"/>
      <c r="E27" s="88"/>
      <c r="F27" s="92"/>
      <c r="G27" s="88"/>
      <c r="H27" s="107"/>
      <c r="I27" s="88"/>
      <c r="J27" s="608"/>
      <c r="K27" s="88"/>
      <c r="L27" s="88"/>
      <c r="M27" s="542"/>
      <c r="N27" s="88"/>
      <c r="O27" s="88"/>
      <c r="P27" s="88"/>
      <c r="Q27" s="177">
        <f>70.5/80*Q26</f>
        <v>70.5</v>
      </c>
      <c r="R27" s="129">
        <f>Q27/Q26*R26</f>
        <v>70.5</v>
      </c>
      <c r="S27" s="88"/>
      <c r="T27" s="88"/>
      <c r="U27" s="92"/>
      <c r="V27" s="88"/>
      <c r="W27" s="88"/>
      <c r="X27" s="88"/>
      <c r="Y27" s="287"/>
      <c r="Z27" s="79"/>
      <c r="AA27" s="7"/>
      <c r="AB27" s="7"/>
      <c r="AC27" s="7"/>
      <c r="AD27" s="7"/>
      <c r="AE27" s="7"/>
      <c r="AF27" s="7"/>
    </row>
    <row r="28" spans="1:33" ht="15.75" customHeight="1" thickBot="1">
      <c r="A28" s="134" t="s">
        <v>134</v>
      </c>
      <c r="B28" s="347">
        <v>137.69999999999999</v>
      </c>
      <c r="C28" s="348" t="s">
        <v>73</v>
      </c>
      <c r="D28" s="382"/>
      <c r="E28" s="350"/>
      <c r="F28" s="530"/>
      <c r="G28" s="386"/>
      <c r="H28" s="531"/>
      <c r="I28" s="386"/>
      <c r="J28" s="666"/>
      <c r="K28" s="386"/>
      <c r="L28" s="386"/>
      <c r="M28" s="832"/>
      <c r="N28" s="386"/>
      <c r="O28" s="386"/>
      <c r="P28" s="386"/>
      <c r="Q28" s="349">
        <f>Q27*Q25/1000</f>
        <v>7.05</v>
      </c>
      <c r="R28" s="341">
        <f>Q28</f>
        <v>7.05</v>
      </c>
      <c r="S28" s="350"/>
      <c r="T28" s="350"/>
      <c r="U28" s="530"/>
      <c r="V28" s="386"/>
      <c r="W28" s="350"/>
      <c r="X28" s="350"/>
      <c r="Y28" s="343">
        <f>ROUND(E28+G28+I28+J28+K28+L28+N28+O28+P28+R28+S28+T28+V28+W28+X28,2)</f>
        <v>7.05</v>
      </c>
      <c r="Z28" s="368">
        <f>Y28*B28</f>
        <v>970.78499999999985</v>
      </c>
      <c r="AA28" s="7"/>
      <c r="AB28" s="7"/>
      <c r="AC28" s="475">
        <f>Y28+Y125</f>
        <v>12.35</v>
      </c>
      <c r="AD28" s="7" t="str">
        <f>A28</f>
        <v>Минтай с/м  потр.</v>
      </c>
      <c r="AE28" s="7"/>
      <c r="AF28" s="7"/>
    </row>
    <row r="29" spans="1:33" ht="15" customHeight="1" thickTop="1">
      <c r="A29" s="133"/>
      <c r="B29" s="121"/>
      <c r="C29" s="77" t="s">
        <v>72</v>
      </c>
      <c r="D29" s="306">
        <v>5</v>
      </c>
      <c r="E29" s="129">
        <f>D29/D26*E26</f>
        <v>5</v>
      </c>
      <c r="F29" s="430">
        <v>3</v>
      </c>
      <c r="G29" s="129">
        <f>F29/F26*G26</f>
        <v>3</v>
      </c>
      <c r="H29" s="108"/>
      <c r="I29" s="88"/>
      <c r="J29" s="608"/>
      <c r="K29" s="88"/>
      <c r="L29" s="88"/>
      <c r="M29" s="263"/>
      <c r="N29" s="88"/>
      <c r="O29" s="131"/>
      <c r="P29" s="131">
        <v>4.5</v>
      </c>
      <c r="Q29" s="177"/>
      <c r="R29" s="129"/>
      <c r="S29" s="88"/>
      <c r="T29" s="88"/>
      <c r="U29" s="430">
        <f>5/100*U26</f>
        <v>5</v>
      </c>
      <c r="V29" s="129">
        <f>U29/U26*V26</f>
        <v>5</v>
      </c>
      <c r="W29" s="88"/>
      <c r="X29" s="88"/>
      <c r="Y29" s="288"/>
      <c r="Z29" s="123"/>
      <c r="AA29" s="7"/>
      <c r="AB29" s="7"/>
      <c r="AC29" s="224"/>
      <c r="AD29" s="7"/>
      <c r="AE29" s="7"/>
      <c r="AF29" s="7"/>
      <c r="AG29" s="624"/>
    </row>
    <row r="30" spans="1:33" ht="16.5" customHeight="1" thickBot="1">
      <c r="A30" s="346" t="s">
        <v>79</v>
      </c>
      <c r="B30" s="347">
        <v>595</v>
      </c>
      <c r="C30" s="348" t="s">
        <v>73</v>
      </c>
      <c r="D30" s="490">
        <f>D29*F25/1000</f>
        <v>0.5</v>
      </c>
      <c r="E30" s="341">
        <f>D30</f>
        <v>0.5</v>
      </c>
      <c r="F30" s="363">
        <f>ROUND(F29*F25/1000,2)</f>
        <v>0.3</v>
      </c>
      <c r="G30" s="341">
        <f>F30</f>
        <v>0.3</v>
      </c>
      <c r="H30" s="349"/>
      <c r="I30" s="350"/>
      <c r="J30" s="569"/>
      <c r="K30" s="350"/>
      <c r="L30" s="350"/>
      <c r="M30" s="360"/>
      <c r="N30" s="341"/>
      <c r="O30" s="350">
        <f>ROUND(O29*B25/1000,2)</f>
        <v>0</v>
      </c>
      <c r="P30" s="341">
        <f>ROUND(P29*B25/1000,2)</f>
        <v>0.45</v>
      </c>
      <c r="Q30" s="349"/>
      <c r="R30" s="421"/>
      <c r="S30" s="350"/>
      <c r="T30" s="350"/>
      <c r="U30" s="363">
        <f>ROUND(U29*U25/1000,2)</f>
        <v>0.5</v>
      </c>
      <c r="V30" s="341">
        <f>U30</f>
        <v>0.5</v>
      </c>
      <c r="W30" s="350"/>
      <c r="X30" s="350"/>
      <c r="Y30" s="343">
        <f>ROUND(E30+G30+I30+J30+K30+L30+N30+O30+P30+R30+S30+T30+V30+W30+X30,2)</f>
        <v>1.75</v>
      </c>
      <c r="Z30" s="344">
        <f>Y30*B30</f>
        <v>1041.25</v>
      </c>
      <c r="AA30" s="7"/>
      <c r="AB30" s="7"/>
      <c r="AC30" s="223">
        <f>Y30+Y127</f>
        <v>3.4</v>
      </c>
      <c r="AD30" s="7" t="str">
        <f>A30</f>
        <v>Масло слив.</v>
      </c>
      <c r="AE30" s="7"/>
      <c r="AF30" s="7"/>
      <c r="AG30" s="7"/>
    </row>
    <row r="31" spans="1:33" ht="15" customHeight="1" thickTop="1">
      <c r="A31" s="133"/>
      <c r="B31" s="121"/>
      <c r="C31" s="77" t="s">
        <v>72</v>
      </c>
      <c r="D31" s="296"/>
      <c r="E31" s="88"/>
      <c r="F31" s="430"/>
      <c r="G31" s="88"/>
      <c r="H31" s="108"/>
      <c r="I31" s="88"/>
      <c r="J31" s="608"/>
      <c r="K31" s="282"/>
      <c r="L31" s="131">
        <v>3</v>
      </c>
      <c r="M31" s="264"/>
      <c r="N31" s="88"/>
      <c r="O31" s="131">
        <v>1.8</v>
      </c>
      <c r="P31" s="88"/>
      <c r="Q31" s="177">
        <f>4/80*Q26</f>
        <v>4</v>
      </c>
      <c r="R31" s="129">
        <f>Q31/Q26*R26</f>
        <v>4</v>
      </c>
      <c r="S31" s="88"/>
      <c r="T31" s="88"/>
      <c r="U31" s="430"/>
      <c r="V31" s="88"/>
      <c r="W31" s="88"/>
      <c r="X31" s="88"/>
      <c r="Y31" s="288"/>
      <c r="Z31" s="123"/>
      <c r="AA31" s="7"/>
      <c r="AB31" s="7"/>
      <c r="AC31" s="224"/>
      <c r="AD31" s="7"/>
      <c r="AE31" s="7"/>
      <c r="AF31" s="7"/>
      <c r="AG31" s="7"/>
    </row>
    <row r="32" spans="1:33" ht="15.75" customHeight="1" thickBot="1">
      <c r="A32" s="346" t="s">
        <v>78</v>
      </c>
      <c r="B32" s="347">
        <v>104.42</v>
      </c>
      <c r="C32" s="348" t="s">
        <v>73</v>
      </c>
      <c r="D32" s="382"/>
      <c r="E32" s="350"/>
      <c r="F32" s="363"/>
      <c r="G32" s="350"/>
      <c r="H32" s="349"/>
      <c r="I32" s="350"/>
      <c r="J32" s="569"/>
      <c r="K32" s="350"/>
      <c r="L32" s="341">
        <f>L31*B25/1000</f>
        <v>0.3</v>
      </c>
      <c r="M32" s="361"/>
      <c r="N32" s="350"/>
      <c r="O32" s="341">
        <f>O31*B25/1000</f>
        <v>0.18</v>
      </c>
      <c r="P32" s="350"/>
      <c r="Q32" s="349">
        <f>Q31*F25/1000</f>
        <v>0.4</v>
      </c>
      <c r="R32" s="341">
        <f>ROUND(Q32,2)</f>
        <v>0.4</v>
      </c>
      <c r="S32" s="350"/>
      <c r="T32" s="350"/>
      <c r="U32" s="363"/>
      <c r="V32" s="350"/>
      <c r="W32" s="350"/>
      <c r="X32" s="350"/>
      <c r="Y32" s="343">
        <f>ROUND(E32+G32+I32+J32+K32+L32+N32+O32+P32+R32+S32+T32+V32+W32+X32,2)</f>
        <v>0.88</v>
      </c>
      <c r="Z32" s="344">
        <f>Y32*B32</f>
        <v>91.889600000000002</v>
      </c>
      <c r="AA32" s="7"/>
      <c r="AB32" s="7"/>
      <c r="AC32" s="223">
        <f>Y32+Y129</f>
        <v>1.52</v>
      </c>
      <c r="AD32" s="7" t="str">
        <f>A32</f>
        <v>Масло раст.</v>
      </c>
      <c r="AE32" s="7"/>
      <c r="AF32" s="7"/>
      <c r="AG32" s="7"/>
    </row>
    <row r="33" spans="1:33" ht="14.25" customHeight="1" thickTop="1">
      <c r="A33" s="133"/>
      <c r="B33" s="121"/>
      <c r="C33" s="77" t="s">
        <v>72</v>
      </c>
      <c r="D33" s="296"/>
      <c r="E33" s="88"/>
      <c r="F33" s="430">
        <v>135</v>
      </c>
      <c r="G33" s="129">
        <f>F33/F26*G26</f>
        <v>135</v>
      </c>
      <c r="H33" s="108">
        <v>110</v>
      </c>
      <c r="I33" s="129">
        <f>H33/H26*I26</f>
        <v>110.00000000000001</v>
      </c>
      <c r="J33" s="608"/>
      <c r="K33" s="88"/>
      <c r="L33" s="88"/>
      <c r="M33" s="263"/>
      <c r="N33" s="131"/>
      <c r="O33" s="88"/>
      <c r="P33" s="131"/>
      <c r="Q33" s="177"/>
      <c r="R33" s="129"/>
      <c r="S33" s="88"/>
      <c r="T33" s="88"/>
      <c r="U33" s="430">
        <f>26/100*U26</f>
        <v>26</v>
      </c>
      <c r="V33" s="129">
        <f>U33/U26*V26</f>
        <v>26</v>
      </c>
      <c r="W33" s="847">
        <v>92</v>
      </c>
      <c r="X33" s="88"/>
      <c r="Y33" s="288"/>
      <c r="Z33" s="123"/>
      <c r="AA33" s="7"/>
      <c r="AB33" s="7"/>
      <c r="AC33" s="224"/>
      <c r="AD33" s="7"/>
      <c r="AE33" s="7"/>
      <c r="AF33" s="7"/>
      <c r="AG33" s="7"/>
    </row>
    <row r="34" spans="1:33" ht="15.95" customHeight="1" thickBot="1">
      <c r="A34" s="346" t="s">
        <v>81</v>
      </c>
      <c r="B34" s="347">
        <v>67.8</v>
      </c>
      <c r="C34" s="348" t="s">
        <v>73</v>
      </c>
      <c r="D34" s="382"/>
      <c r="E34" s="350"/>
      <c r="F34" s="363">
        <f>F33*F25/1000</f>
        <v>13.5</v>
      </c>
      <c r="G34" s="786">
        <f>F34</f>
        <v>13.5</v>
      </c>
      <c r="H34" s="349">
        <f>H33*H25/1000</f>
        <v>11</v>
      </c>
      <c r="I34" s="786">
        <f>H34</f>
        <v>11</v>
      </c>
      <c r="J34" s="569"/>
      <c r="K34" s="350"/>
      <c r="L34" s="350"/>
      <c r="M34" s="360"/>
      <c r="N34" s="350"/>
      <c r="O34" s="350"/>
      <c r="P34" s="341"/>
      <c r="Q34" s="349"/>
      <c r="R34" s="350"/>
      <c r="S34" s="350"/>
      <c r="T34" s="350"/>
      <c r="U34" s="363">
        <f>U33*U25/1000</f>
        <v>2.6</v>
      </c>
      <c r="V34" s="786">
        <f>U34</f>
        <v>2.6</v>
      </c>
      <c r="W34" s="786">
        <f>W33*B25/1000</f>
        <v>9.1999999999999993</v>
      </c>
      <c r="X34" s="350"/>
      <c r="Y34" s="356">
        <f>ROUND(E34+G34+I34+J34+K34+L34+N34+O34+P34+R34+S34+T34+V34+W34+X34,3)</f>
        <v>36.299999999999997</v>
      </c>
      <c r="Z34" s="344">
        <f>Y34*B34</f>
        <v>2461.14</v>
      </c>
      <c r="AA34" s="7"/>
      <c r="AB34" s="7"/>
      <c r="AC34" s="225">
        <f>Y34+Y131</f>
        <v>70.3</v>
      </c>
      <c r="AD34" s="7" t="str">
        <f>A34</f>
        <v>Молоко св.</v>
      </c>
      <c r="AE34" s="7"/>
      <c r="AF34" s="7"/>
      <c r="AG34" s="7"/>
    </row>
    <row r="35" spans="1:33" ht="15" customHeight="1" thickTop="1">
      <c r="A35" s="133"/>
      <c r="B35" s="121"/>
      <c r="C35" s="77" t="s">
        <v>72</v>
      </c>
      <c r="D35" s="108"/>
      <c r="E35" s="129"/>
      <c r="F35" s="430"/>
      <c r="G35" s="88"/>
      <c r="H35" s="108"/>
      <c r="I35" s="88"/>
      <c r="J35" s="608"/>
      <c r="K35" s="88"/>
      <c r="L35" s="88"/>
      <c r="M35" s="263"/>
      <c r="N35" s="131"/>
      <c r="O35" s="88"/>
      <c r="P35" s="129">
        <v>35.700000000000003</v>
      </c>
      <c r="Q35" s="177"/>
      <c r="R35" s="129"/>
      <c r="S35" s="88"/>
      <c r="T35" s="88"/>
      <c r="U35" s="430"/>
      <c r="V35" s="88"/>
      <c r="W35" s="88"/>
      <c r="X35" s="88"/>
      <c r="Y35" s="288"/>
      <c r="Z35" s="123"/>
      <c r="AA35" s="7"/>
      <c r="AB35" s="7"/>
      <c r="AC35" s="224"/>
      <c r="AD35" s="7"/>
      <c r="AE35" s="7"/>
      <c r="AF35" s="7"/>
      <c r="AG35" s="7"/>
    </row>
    <row r="36" spans="1:33" ht="15.95" customHeight="1" thickBot="1">
      <c r="A36" s="346" t="s">
        <v>24</v>
      </c>
      <c r="B36" s="347">
        <v>81.92</v>
      </c>
      <c r="C36" s="348" t="s">
        <v>73</v>
      </c>
      <c r="D36" s="349"/>
      <c r="E36" s="350"/>
      <c r="F36" s="363"/>
      <c r="G36" s="350"/>
      <c r="H36" s="349"/>
      <c r="I36" s="350"/>
      <c r="J36" s="569"/>
      <c r="K36" s="350"/>
      <c r="L36" s="350"/>
      <c r="M36" s="360"/>
      <c r="N36" s="341"/>
      <c r="O36" s="350"/>
      <c r="P36" s="341">
        <f>P35*B25/1000</f>
        <v>3.5700000000000003</v>
      </c>
      <c r="Q36" s="349"/>
      <c r="R36" s="341"/>
      <c r="S36" s="350"/>
      <c r="T36" s="350"/>
      <c r="U36" s="363"/>
      <c r="V36" s="350"/>
      <c r="W36" s="350"/>
      <c r="X36" s="350"/>
      <c r="Y36" s="343">
        <f>ROUND(E36+G36+I36+J36+K36+L36+N36+O36+P36+R36+S36+T36+V36+W36+X36,2)</f>
        <v>3.57</v>
      </c>
      <c r="Z36" s="344">
        <f>Y36*B36</f>
        <v>292.45440000000002</v>
      </c>
      <c r="AA36" s="7"/>
      <c r="AB36" s="7"/>
      <c r="AC36" s="225">
        <f>Y36+Y133</f>
        <v>7.14</v>
      </c>
      <c r="AD36" s="7" t="str">
        <f>A36</f>
        <v>Рис</v>
      </c>
      <c r="AE36" s="7"/>
      <c r="AF36" s="7"/>
      <c r="AG36" s="7"/>
    </row>
    <row r="37" spans="1:33" ht="15" customHeight="1" thickTop="1">
      <c r="A37" s="133"/>
      <c r="B37" s="121"/>
      <c r="C37" s="77" t="s">
        <v>72</v>
      </c>
      <c r="D37" s="296"/>
      <c r="E37" s="88"/>
      <c r="F37" s="430"/>
      <c r="G37" s="129"/>
      <c r="H37" s="108"/>
      <c r="I37" s="88"/>
      <c r="J37" s="608"/>
      <c r="K37" s="88"/>
      <c r="L37" s="88"/>
      <c r="M37" s="263"/>
      <c r="N37" s="88"/>
      <c r="O37" s="88"/>
      <c r="P37" s="88"/>
      <c r="Q37" s="177"/>
      <c r="R37" s="129"/>
      <c r="S37" s="88"/>
      <c r="T37" s="88"/>
      <c r="U37" s="430">
        <f>11.1/100*U26</f>
        <v>11.1</v>
      </c>
      <c r="V37" s="129">
        <f>U37/U26*V26</f>
        <v>11.1</v>
      </c>
      <c r="W37" s="88"/>
      <c r="X37" s="88"/>
      <c r="Y37" s="288"/>
      <c r="Z37" s="123"/>
      <c r="AA37" s="7"/>
      <c r="AB37" s="7"/>
      <c r="AC37" s="224"/>
      <c r="AD37" s="7"/>
      <c r="AE37" s="7"/>
      <c r="AF37" s="7"/>
      <c r="AG37" s="7"/>
    </row>
    <row r="38" spans="1:33" ht="16.5" customHeight="1" thickBot="1">
      <c r="A38" s="346" t="s">
        <v>107</v>
      </c>
      <c r="B38" s="347">
        <v>540</v>
      </c>
      <c r="C38" s="348" t="s">
        <v>73</v>
      </c>
      <c r="D38" s="382"/>
      <c r="E38" s="350"/>
      <c r="F38" s="363"/>
      <c r="G38" s="350"/>
      <c r="H38" s="349"/>
      <c r="I38" s="350"/>
      <c r="J38" s="569"/>
      <c r="K38" s="350"/>
      <c r="L38" s="350"/>
      <c r="M38" s="360"/>
      <c r="N38" s="350"/>
      <c r="O38" s="350"/>
      <c r="P38" s="350"/>
      <c r="Q38" s="349"/>
      <c r="R38" s="341"/>
      <c r="S38" s="350"/>
      <c r="T38" s="350"/>
      <c r="U38" s="363">
        <f>U37*U25/1000</f>
        <v>1.1100000000000001</v>
      </c>
      <c r="V38" s="341">
        <f>U38</f>
        <v>1.1100000000000001</v>
      </c>
      <c r="W38" s="350"/>
      <c r="X38" s="350"/>
      <c r="Y38" s="343">
        <f>ROUND(E38+G38+I38+J38+K38+L38+N38+O38+P38+R38+S38+T38+V38+W38+X38,2)</f>
        <v>1.1100000000000001</v>
      </c>
      <c r="Z38" s="344">
        <f>Y38*B38</f>
        <v>599.40000000000009</v>
      </c>
      <c r="AA38" s="7"/>
      <c r="AB38" s="7"/>
      <c r="AC38" s="223">
        <f>Y38+Y135</f>
        <v>2.21</v>
      </c>
      <c r="AD38" s="7" t="str">
        <f>A38</f>
        <v>Сыр</v>
      </c>
      <c r="AE38" s="7"/>
      <c r="AF38" s="7"/>
      <c r="AG38" s="7"/>
    </row>
    <row r="39" spans="1:33" ht="15" customHeight="1" thickTop="1">
      <c r="A39" s="133"/>
      <c r="B39" s="121"/>
      <c r="C39" s="77" t="s">
        <v>72</v>
      </c>
      <c r="D39" s="296"/>
      <c r="E39" s="88"/>
      <c r="F39" s="430"/>
      <c r="G39" s="129"/>
      <c r="H39" s="108"/>
      <c r="I39" s="88"/>
      <c r="J39" s="608"/>
      <c r="K39" s="88"/>
      <c r="L39" s="131">
        <v>4</v>
      </c>
      <c r="M39" s="591">
        <f>1.6/20*M26</f>
        <v>1.6</v>
      </c>
      <c r="N39" s="129">
        <f>M39/M26*N26</f>
        <v>1.6</v>
      </c>
      <c r="O39" s="88"/>
      <c r="P39" s="88"/>
      <c r="Q39" s="177"/>
      <c r="R39" s="113"/>
      <c r="S39" s="88"/>
      <c r="T39" s="88"/>
      <c r="U39" s="430">
        <f>72/100*U26</f>
        <v>72</v>
      </c>
      <c r="V39" s="129">
        <f>U39/U26*V26</f>
        <v>72</v>
      </c>
      <c r="W39" s="88"/>
      <c r="X39" s="88"/>
      <c r="Y39" s="288"/>
      <c r="Z39" s="123"/>
      <c r="AA39" s="7"/>
      <c r="AB39" s="7"/>
      <c r="AC39" s="224"/>
      <c r="AD39" s="7"/>
      <c r="AE39" s="7"/>
      <c r="AF39" s="7"/>
      <c r="AG39" s="7"/>
    </row>
    <row r="40" spans="1:33" ht="18.2" customHeight="1" thickBot="1">
      <c r="A40" s="346" t="s">
        <v>214</v>
      </c>
      <c r="B40" s="347">
        <v>10</v>
      </c>
      <c r="C40" s="348" t="s">
        <v>74</v>
      </c>
      <c r="D40" s="382"/>
      <c r="E40" s="350"/>
      <c r="F40" s="530"/>
      <c r="G40" s="386"/>
      <c r="H40" s="349"/>
      <c r="I40" s="350"/>
      <c r="J40" s="569"/>
      <c r="K40" s="350"/>
      <c r="L40" s="623">
        <f>ROUND(L39*B25/48,0)</f>
        <v>8</v>
      </c>
      <c r="M40" s="530">
        <f>ROUND(M39*F25/48,0)</f>
        <v>3</v>
      </c>
      <c r="N40" s="470">
        <f>M40</f>
        <v>3</v>
      </c>
      <c r="O40" s="350"/>
      <c r="P40" s="350"/>
      <c r="Q40" s="349"/>
      <c r="R40" s="350"/>
      <c r="S40" s="350"/>
      <c r="T40" s="350"/>
      <c r="U40" s="530">
        <f xml:space="preserve"> ROUND(U39*U25/1000/0.048,0)</f>
        <v>150</v>
      </c>
      <c r="V40" s="470">
        <f>U40</f>
        <v>150</v>
      </c>
      <c r="W40" s="350"/>
      <c r="X40" s="350"/>
      <c r="Y40" s="472">
        <f>ROUND(E40+G40+I40+J40+K40+L40+N40+O40+P40+R40+S40+T40+V40+W40+X40,0)</f>
        <v>161</v>
      </c>
      <c r="Z40" s="344">
        <f>Y40*B40</f>
        <v>1610</v>
      </c>
      <c r="AA40" s="7"/>
      <c r="AB40" s="7"/>
      <c r="AC40" s="223">
        <f>Y40+Y137</f>
        <v>286</v>
      </c>
      <c r="AD40" s="7" t="str">
        <f>A40</f>
        <v xml:space="preserve">Яйцо </v>
      </c>
      <c r="AE40" s="7"/>
      <c r="AF40" s="7"/>
      <c r="AG40" s="7"/>
    </row>
    <row r="41" spans="1:33" ht="15" customHeight="1" thickTop="1">
      <c r="A41" s="133"/>
      <c r="B41" s="121"/>
      <c r="C41" s="77" t="s">
        <v>72</v>
      </c>
      <c r="D41" s="296"/>
      <c r="E41" s="88"/>
      <c r="F41" s="430">
        <v>23.1</v>
      </c>
      <c r="G41" s="129">
        <f>F41/F26*G26</f>
        <v>23.1</v>
      </c>
      <c r="H41" s="108"/>
      <c r="I41" s="88"/>
      <c r="J41" s="608"/>
      <c r="K41" s="88"/>
      <c r="L41" s="183"/>
      <c r="M41" s="848"/>
      <c r="N41" s="88"/>
      <c r="O41" s="88"/>
      <c r="P41" s="88"/>
      <c r="Q41" s="177"/>
      <c r="R41" s="129"/>
      <c r="S41" s="88"/>
      <c r="T41" s="88"/>
      <c r="U41" s="90"/>
      <c r="V41" s="113"/>
      <c r="W41" s="88"/>
      <c r="X41" s="88"/>
      <c r="Y41" s="288"/>
      <c r="Z41" s="123"/>
      <c r="AA41" s="7"/>
      <c r="AB41" s="7"/>
      <c r="AC41" s="224"/>
      <c r="AD41" s="7"/>
      <c r="AE41" s="7"/>
      <c r="AF41" s="7"/>
      <c r="AG41" s="7"/>
    </row>
    <row r="42" spans="1:33" ht="15.75" customHeight="1" thickBot="1">
      <c r="A42" s="346" t="s">
        <v>100</v>
      </c>
      <c r="B42" s="347">
        <v>40.78</v>
      </c>
      <c r="C42" s="348" t="s">
        <v>73</v>
      </c>
      <c r="D42" s="382"/>
      <c r="E42" s="350"/>
      <c r="F42" s="363">
        <f>ROUND(F41*F25/1000,2)</f>
        <v>2.31</v>
      </c>
      <c r="G42" s="341">
        <f>F42</f>
        <v>2.31</v>
      </c>
      <c r="H42" s="349"/>
      <c r="I42" s="350"/>
      <c r="J42" s="569"/>
      <c r="K42" s="350"/>
      <c r="L42" s="341"/>
      <c r="M42" s="361"/>
      <c r="N42" s="341"/>
      <c r="O42" s="350"/>
      <c r="P42" s="350"/>
      <c r="Q42" s="349"/>
      <c r="R42" s="350"/>
      <c r="S42" s="350"/>
      <c r="T42" s="350"/>
      <c r="U42" s="363"/>
      <c r="V42" s="851"/>
      <c r="W42" s="350"/>
      <c r="X42" s="350"/>
      <c r="Y42" s="343">
        <f>ROUND(E42+G42+I42+J42+K42+L42+N42+O42+P42+R42+S42+T42+V42+W42+X42,2)</f>
        <v>2.31</v>
      </c>
      <c r="Z42" s="344">
        <f>Y42*B42</f>
        <v>94.201800000000006</v>
      </c>
      <c r="AA42" s="7"/>
      <c r="AB42" s="7"/>
      <c r="AC42" s="223">
        <f>Y42+Y139</f>
        <v>4.62</v>
      </c>
      <c r="AD42" s="7" t="str">
        <f>A42</f>
        <v>Геркулес</v>
      </c>
      <c r="AE42" s="7"/>
      <c r="AF42" s="7"/>
      <c r="AG42" s="7"/>
    </row>
    <row r="43" spans="1:33" ht="15" customHeight="1" thickTop="1">
      <c r="A43" s="133"/>
      <c r="B43" s="121"/>
      <c r="C43" s="77" t="s">
        <v>72</v>
      </c>
      <c r="D43" s="296"/>
      <c r="E43" s="88"/>
      <c r="F43" s="430"/>
      <c r="G43" s="129"/>
      <c r="H43" s="108"/>
      <c r="I43" s="88"/>
      <c r="J43" s="608"/>
      <c r="K43" s="88"/>
      <c r="L43" s="88"/>
      <c r="M43" s="497">
        <f>24.5/20*M26</f>
        <v>24.5</v>
      </c>
      <c r="N43" s="129">
        <f>M43/M26*N26</f>
        <v>24.5</v>
      </c>
      <c r="O43" s="88"/>
      <c r="P43" s="88"/>
      <c r="Q43" s="177"/>
      <c r="R43" s="129"/>
      <c r="S43" s="88"/>
      <c r="T43" s="88"/>
      <c r="U43" s="90"/>
      <c r="V43" s="629"/>
      <c r="W43" s="88"/>
      <c r="X43" s="88"/>
      <c r="Y43" s="288"/>
      <c r="Z43" s="123"/>
      <c r="AA43" s="7"/>
      <c r="AB43" s="7"/>
      <c r="AC43" s="224"/>
      <c r="AD43" s="7"/>
      <c r="AE43" s="7"/>
      <c r="AF43" s="7"/>
      <c r="AG43" s="7"/>
    </row>
    <row r="44" spans="1:33" ht="15.75" customHeight="1" thickBot="1">
      <c r="A44" s="346" t="s">
        <v>103</v>
      </c>
      <c r="B44" s="347">
        <v>288</v>
      </c>
      <c r="C44" s="348" t="s">
        <v>73</v>
      </c>
      <c r="D44" s="382"/>
      <c r="E44" s="350"/>
      <c r="F44" s="363"/>
      <c r="G44" s="341"/>
      <c r="H44" s="349"/>
      <c r="I44" s="350"/>
      <c r="J44" s="569"/>
      <c r="K44" s="350"/>
      <c r="L44" s="350"/>
      <c r="M44" s="363">
        <f>M43*M25/1000</f>
        <v>2.4500000000000002</v>
      </c>
      <c r="N44" s="341">
        <f>ROUND(M44,2)</f>
        <v>2.4500000000000002</v>
      </c>
      <c r="O44" s="341"/>
      <c r="P44" s="350"/>
      <c r="Q44" s="349"/>
      <c r="R44" s="350"/>
      <c r="S44" s="350"/>
      <c r="T44" s="350"/>
      <c r="U44" s="363"/>
      <c r="V44" s="341"/>
      <c r="W44" s="350"/>
      <c r="X44" s="350"/>
      <c r="Y44" s="343">
        <f>ROUND(E44+G44+I44+J44+K44+L44+N44+O44+P44+R44+S44+T44+V44+W44+X44,2)</f>
        <v>2.4500000000000002</v>
      </c>
      <c r="Z44" s="344">
        <f>Y44*B44</f>
        <v>705.6</v>
      </c>
      <c r="AA44" s="7"/>
      <c r="AB44" s="7"/>
      <c r="AC44" s="223">
        <f>Y44+Y141</f>
        <v>4.9000000000000004</v>
      </c>
      <c r="AD44" s="7" t="str">
        <f>A44</f>
        <v>Фарш гов.</v>
      </c>
      <c r="AE44" s="7"/>
      <c r="AF44" s="7"/>
      <c r="AG44" s="7"/>
    </row>
    <row r="45" spans="1:33" ht="15" customHeight="1" thickTop="1">
      <c r="A45" s="133"/>
      <c r="B45" s="121"/>
      <c r="C45" s="77" t="s">
        <v>72</v>
      </c>
      <c r="D45" s="296"/>
      <c r="E45" s="88"/>
      <c r="F45" s="90">
        <v>3</v>
      </c>
      <c r="G45" s="129">
        <f>F45/F26*G26</f>
        <v>3</v>
      </c>
      <c r="H45" s="108">
        <v>7</v>
      </c>
      <c r="I45" s="129">
        <f>H45/H26*I26</f>
        <v>7</v>
      </c>
      <c r="J45" s="608"/>
      <c r="K45" s="88"/>
      <c r="L45" s="183"/>
      <c r="M45" s="264"/>
      <c r="N45" s="88"/>
      <c r="O45" s="88"/>
      <c r="P45" s="88"/>
      <c r="Q45" s="177"/>
      <c r="R45" s="88"/>
      <c r="S45" s="131">
        <v>10</v>
      </c>
      <c r="T45" s="88"/>
      <c r="U45" s="90"/>
      <c r="V45" s="129"/>
      <c r="W45" s="131">
        <v>7</v>
      </c>
      <c r="X45" s="88"/>
      <c r="Y45" s="288"/>
      <c r="Z45" s="123"/>
      <c r="AA45" s="7"/>
      <c r="AB45" s="7"/>
      <c r="AC45" s="224"/>
      <c r="AD45" s="7"/>
      <c r="AE45" s="7"/>
      <c r="AF45" s="7"/>
      <c r="AG45" s="7"/>
    </row>
    <row r="46" spans="1:33" ht="16.5" customHeight="1" thickBot="1">
      <c r="A46" s="346" t="s">
        <v>77</v>
      </c>
      <c r="B46" s="347">
        <v>62.77</v>
      </c>
      <c r="C46" s="348" t="s">
        <v>73</v>
      </c>
      <c r="D46" s="382"/>
      <c r="E46" s="350"/>
      <c r="F46" s="363">
        <f>F45*F25/1000</f>
        <v>0.3</v>
      </c>
      <c r="G46" s="341">
        <f>ROUND(F46,2)</f>
        <v>0.3</v>
      </c>
      <c r="H46" s="349">
        <f>H45*H25/1000</f>
        <v>0.7</v>
      </c>
      <c r="I46" s="341">
        <f>ROUND(H46,2)</f>
        <v>0.7</v>
      </c>
      <c r="J46" s="569"/>
      <c r="K46" s="350"/>
      <c r="L46" s="341"/>
      <c r="M46" s="361"/>
      <c r="N46" s="350"/>
      <c r="O46" s="341"/>
      <c r="P46" s="350"/>
      <c r="Q46" s="349"/>
      <c r="R46" s="350"/>
      <c r="S46" s="341">
        <f>ROUND(S45*B25/1000,2)</f>
        <v>1</v>
      </c>
      <c r="T46" s="350"/>
      <c r="U46" s="363"/>
      <c r="V46" s="350"/>
      <c r="W46" s="341">
        <f>ROUND(W45*B25/1000,2)</f>
        <v>0.7</v>
      </c>
      <c r="X46" s="350"/>
      <c r="Y46" s="343">
        <f>ROUND(E46+G46+I46+J46+K46+L46+N46+O46+P46+R46+S46+T46+V46+W46+X46,2)</f>
        <v>2.7</v>
      </c>
      <c r="Z46" s="344">
        <f>Y46*B46</f>
        <v>169.47900000000001</v>
      </c>
      <c r="AA46" s="7"/>
      <c r="AB46" s="7"/>
      <c r="AC46" s="223">
        <f>Y46+Y143</f>
        <v>5</v>
      </c>
      <c r="AD46" s="7" t="str">
        <f>A46</f>
        <v>Сахар</v>
      </c>
      <c r="AE46" s="7"/>
      <c r="AF46" s="7"/>
      <c r="AG46" s="7"/>
    </row>
    <row r="47" spans="1:33" ht="15" customHeight="1" thickTop="1">
      <c r="A47" s="133"/>
      <c r="B47" s="121"/>
      <c r="C47" s="77" t="s">
        <v>72</v>
      </c>
      <c r="D47" s="296"/>
      <c r="E47" s="88"/>
      <c r="F47" s="90"/>
      <c r="G47" s="88"/>
      <c r="H47" s="108"/>
      <c r="I47" s="88"/>
      <c r="J47" s="608"/>
      <c r="K47" s="88"/>
      <c r="L47" s="137"/>
      <c r="M47" s="406"/>
      <c r="N47" s="88"/>
      <c r="O47" s="88"/>
      <c r="P47" s="88"/>
      <c r="Q47" s="177"/>
      <c r="R47" s="88"/>
      <c r="S47" s="131">
        <v>12</v>
      </c>
      <c r="T47" s="88"/>
      <c r="U47" s="90"/>
      <c r="V47" s="88"/>
      <c r="W47" s="88"/>
      <c r="X47" s="88"/>
      <c r="Y47" s="288"/>
      <c r="Z47" s="123"/>
      <c r="AA47" s="7"/>
      <c r="AB47" s="7"/>
      <c r="AC47" s="224"/>
      <c r="AD47" s="7"/>
      <c r="AE47" s="7"/>
      <c r="AF47" s="7"/>
      <c r="AG47" s="7"/>
    </row>
    <row r="48" spans="1:33" ht="15.75" customHeight="1" thickBot="1">
      <c r="A48" s="346" t="s">
        <v>67</v>
      </c>
      <c r="B48" s="347">
        <v>170</v>
      </c>
      <c r="C48" s="348" t="s">
        <v>73</v>
      </c>
      <c r="D48" s="382"/>
      <c r="E48" s="350"/>
      <c r="F48" s="363"/>
      <c r="G48" s="350"/>
      <c r="H48" s="349"/>
      <c r="I48" s="350"/>
      <c r="J48" s="569"/>
      <c r="K48" s="350"/>
      <c r="L48" s="341"/>
      <c r="M48" s="361"/>
      <c r="N48" s="350"/>
      <c r="O48" s="350"/>
      <c r="P48" s="350"/>
      <c r="Q48" s="349"/>
      <c r="R48" s="341"/>
      <c r="S48" s="341">
        <f>S47*B25/1000</f>
        <v>1.2</v>
      </c>
      <c r="T48" s="350"/>
      <c r="U48" s="363"/>
      <c r="V48" s="350"/>
      <c r="W48" s="350"/>
      <c r="X48" s="350"/>
      <c r="Y48" s="343">
        <f>ROUND(E48+G48+I48+J48+K48+L48+N48+O48+P48+R48+S48+T48+V48+W48+X48,2)</f>
        <v>1.2</v>
      </c>
      <c r="Z48" s="344">
        <f>Y48*B48</f>
        <v>204</v>
      </c>
      <c r="AA48" s="7"/>
      <c r="AB48" s="7"/>
      <c r="AC48" s="223">
        <f>Y48+Y145</f>
        <v>2.2000000000000002</v>
      </c>
      <c r="AD48" s="7" t="str">
        <f>A48</f>
        <v>Сухофрукты</v>
      </c>
      <c r="AE48" s="7"/>
      <c r="AF48" s="7"/>
      <c r="AG48" s="7"/>
    </row>
    <row r="49" spans="1:33" ht="12.75" customHeight="1" thickTop="1">
      <c r="A49" s="141"/>
      <c r="B49" s="102"/>
      <c r="C49" s="77" t="s">
        <v>72</v>
      </c>
      <c r="D49" s="296"/>
      <c r="E49" s="104"/>
      <c r="F49" s="103"/>
      <c r="G49" s="104"/>
      <c r="H49" s="108"/>
      <c r="I49" s="104"/>
      <c r="J49" s="608"/>
      <c r="K49" s="114">
        <f>K50/B25*1000</f>
        <v>100</v>
      </c>
      <c r="L49" s="114"/>
      <c r="M49" s="406"/>
      <c r="N49" s="184"/>
      <c r="O49" s="184"/>
      <c r="P49" s="104"/>
      <c r="Q49" s="177"/>
      <c r="R49" s="129"/>
      <c r="S49" s="104"/>
      <c r="T49" s="104"/>
      <c r="U49" s="103"/>
      <c r="V49" s="104"/>
      <c r="W49" s="104"/>
      <c r="X49" s="104"/>
      <c r="Y49" s="288"/>
      <c r="Z49" s="123"/>
      <c r="AA49" s="7"/>
      <c r="AB49" s="7"/>
      <c r="AC49" s="224"/>
      <c r="AD49" s="7"/>
      <c r="AE49" s="7"/>
      <c r="AF49" s="7"/>
      <c r="AG49" s="7"/>
    </row>
    <row r="50" spans="1:33" ht="15" customHeight="1" thickBot="1">
      <c r="A50" s="346" t="s">
        <v>121</v>
      </c>
      <c r="B50" s="347">
        <v>100</v>
      </c>
      <c r="C50" s="348" t="s">
        <v>73</v>
      </c>
      <c r="D50" s="382"/>
      <c r="E50" s="350"/>
      <c r="F50" s="363"/>
      <c r="G50" s="350"/>
      <c r="H50" s="349"/>
      <c r="I50" s="350"/>
      <c r="J50" s="569"/>
      <c r="K50" s="339">
        <v>10</v>
      </c>
      <c r="L50" s="339"/>
      <c r="M50" s="849"/>
      <c r="N50" s="339"/>
      <c r="O50" s="341"/>
      <c r="P50" s="350"/>
      <c r="Q50" s="349"/>
      <c r="R50" s="350"/>
      <c r="S50" s="350"/>
      <c r="T50" s="350"/>
      <c r="U50" s="363"/>
      <c r="V50" s="350"/>
      <c r="W50" s="350"/>
      <c r="X50" s="350"/>
      <c r="Y50" s="343">
        <f>ROUND(E50+G50+I50+J50+K50+L50+N50+O50+P50+R50+S50+T50+V50+W50+X50,2)</f>
        <v>10</v>
      </c>
      <c r="Z50" s="344">
        <f>Y50*B50</f>
        <v>1000</v>
      </c>
      <c r="AA50" s="7"/>
      <c r="AB50" s="7"/>
      <c r="AC50" s="226">
        <f>Y50+Y147</f>
        <v>20</v>
      </c>
      <c r="AD50" s="7" t="str">
        <f>A50</f>
        <v>Фрукт?</v>
      </c>
      <c r="AE50" s="7"/>
      <c r="AF50" s="7"/>
      <c r="AG50" s="7"/>
    </row>
    <row r="51" spans="1:33" ht="15" customHeight="1">
      <c r="A51" s="22"/>
      <c r="B51" s="22"/>
      <c r="C51" s="22"/>
      <c r="D51" s="22"/>
      <c r="E51" s="49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89" t="s">
        <v>71</v>
      </c>
      <c r="AC51" s="227"/>
    </row>
    <row r="52" spans="1:33" ht="12" customHeight="1">
      <c r="A52" s="26" t="s">
        <v>53</v>
      </c>
      <c r="B52" s="239"/>
      <c r="C52" s="238"/>
      <c r="D52" s="48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8" t="s">
        <v>41</v>
      </c>
      <c r="P52" s="14"/>
      <c r="Q52" s="14"/>
      <c r="R52" s="14"/>
      <c r="S52" s="28" t="s">
        <v>11</v>
      </c>
      <c r="T52" s="28"/>
      <c r="U52" s="14"/>
      <c r="V52" s="14"/>
      <c r="W52" s="14"/>
      <c r="X52" s="22"/>
      <c r="Y52" s="1047" t="s">
        <v>8</v>
      </c>
      <c r="Z52" s="1048"/>
      <c r="AA52" s="7"/>
      <c r="AB52" s="7"/>
      <c r="AC52" s="228"/>
      <c r="AD52" s="7"/>
      <c r="AE52" s="7"/>
      <c r="AF52" s="7"/>
      <c r="AG52" s="7"/>
    </row>
    <row r="53" spans="1:33" ht="12" customHeight="1">
      <c r="A53" s="158"/>
      <c r="B53" s="19"/>
      <c r="C53" s="5" t="s">
        <v>52</v>
      </c>
      <c r="D53" s="477"/>
      <c r="E53" s="1169" t="str">
        <f>D19</f>
        <v xml:space="preserve">                              З А В Т Р А К                                                                             10-00                                 </v>
      </c>
      <c r="F53" s="1169"/>
      <c r="G53" s="1169"/>
      <c r="H53" s="1169"/>
      <c r="I53" s="1169"/>
      <c r="J53" s="1169"/>
      <c r="K53" s="1170"/>
      <c r="L53" s="241" t="s">
        <v>69</v>
      </c>
      <c r="M53" s="594"/>
      <c r="N53" s="1056" t="s">
        <v>16</v>
      </c>
      <c r="O53" s="1052"/>
      <c r="P53" s="1052"/>
      <c r="Q53" s="1052"/>
      <c r="R53" s="1052"/>
      <c r="S53" s="1052"/>
      <c r="T53" s="1053"/>
      <c r="U53" s="1056" t="s">
        <v>17</v>
      </c>
      <c r="V53" s="1052"/>
      <c r="W53" s="1052"/>
      <c r="X53" s="1052"/>
      <c r="Y53" s="1058" t="s">
        <v>3</v>
      </c>
      <c r="Z53" s="1059"/>
      <c r="AA53" s="7"/>
      <c r="AB53" s="7"/>
      <c r="AC53" s="228"/>
      <c r="AD53" s="7"/>
      <c r="AE53" s="7"/>
      <c r="AF53" s="7"/>
      <c r="AG53" s="7"/>
    </row>
    <row r="54" spans="1:33" ht="5.25" customHeight="1">
      <c r="A54" s="157"/>
      <c r="B54" s="5"/>
      <c r="C54" s="5" t="s">
        <v>51</v>
      </c>
      <c r="D54" s="480"/>
      <c r="E54" s="1054"/>
      <c r="F54" s="1054"/>
      <c r="G54" s="1054"/>
      <c r="H54" s="1054"/>
      <c r="I54" s="1054"/>
      <c r="J54" s="1054"/>
      <c r="K54" s="1055"/>
      <c r="L54" s="242"/>
      <c r="M54" s="595"/>
      <c r="N54" s="1057"/>
      <c r="O54" s="1054"/>
      <c r="P54" s="1054"/>
      <c r="Q54" s="1054"/>
      <c r="R54" s="1054"/>
      <c r="S54" s="1054"/>
      <c r="T54" s="1055"/>
      <c r="U54" s="1057"/>
      <c r="V54" s="1054"/>
      <c r="W54" s="1054"/>
      <c r="X54" s="1054"/>
      <c r="Y54" s="1119" t="s">
        <v>36</v>
      </c>
      <c r="Z54" s="1064"/>
      <c r="AA54" s="8"/>
      <c r="AB54" s="8"/>
      <c r="AC54" s="228"/>
      <c r="AD54" s="7"/>
      <c r="AE54" s="7"/>
      <c r="AF54" s="7"/>
      <c r="AG54" s="7"/>
    </row>
    <row r="55" spans="1:33" ht="10.5" customHeight="1">
      <c r="A55" s="157" t="s">
        <v>54</v>
      </c>
      <c r="B55" s="5" t="s">
        <v>65</v>
      </c>
      <c r="C55" s="5" t="s">
        <v>9</v>
      </c>
      <c r="D55" s="1149" t="str">
        <f>D21</f>
        <v>Бутерб. с маслом сл.</v>
      </c>
      <c r="E55" s="1171"/>
      <c r="F55" s="1041" t="str">
        <f>F21</f>
        <v>Каша мол.геркул. с масл. сл.</v>
      </c>
      <c r="G55" s="1038"/>
      <c r="H55" s="1041" t="str">
        <f>H21</f>
        <v>Какао с мол.</v>
      </c>
      <c r="I55" s="1038"/>
      <c r="J55" s="1044" t="str">
        <f>J21</f>
        <v>Батон вит.</v>
      </c>
      <c r="K55" s="1044" t="str">
        <f>K21</f>
        <v>Фрукты порц.</v>
      </c>
      <c r="L55" s="1044" t="str">
        <f t="shared" ref="L55:Q55" si="0">L21</f>
        <v>Салат карт. с горош.</v>
      </c>
      <c r="M55" s="1152" t="str">
        <f>M21</f>
        <v>с фрикадельками</v>
      </c>
      <c r="N55" s="1153"/>
      <c r="O55" s="1044" t="str">
        <f t="shared" si="0"/>
        <v>Суп картофельный</v>
      </c>
      <c r="P55" s="1044" t="str">
        <f t="shared" si="0"/>
        <v>Рис отварной</v>
      </c>
      <c r="Q55" s="1041" t="str">
        <f t="shared" si="0"/>
        <v>Рыба тушен. с овощами</v>
      </c>
      <c r="R55" s="1038"/>
      <c r="S55" s="1044" t="str">
        <f>S21</f>
        <v>Компот из с/фруктов</v>
      </c>
      <c r="T55" s="1044" t="s">
        <v>68</v>
      </c>
      <c r="U55" s="1078" t="str">
        <f>U21</f>
        <v>Омлет с сыром</v>
      </c>
      <c r="V55" s="1035">
        <f>V21</f>
        <v>0</v>
      </c>
      <c r="W55" s="1044" t="str">
        <f>W21</f>
        <v>Чай с молоком</v>
      </c>
      <c r="X55" s="1044" t="str">
        <f>X21</f>
        <v>Хлеб йодирован. пшен.</v>
      </c>
      <c r="Y55" s="261"/>
      <c r="Z55" s="23"/>
      <c r="AA55" s="7"/>
      <c r="AB55" s="7"/>
      <c r="AC55" s="228"/>
      <c r="AD55" s="7"/>
      <c r="AE55" s="7"/>
      <c r="AF55" s="7"/>
      <c r="AG55" s="7"/>
    </row>
    <row r="56" spans="1:33" ht="10.5" customHeight="1">
      <c r="A56" s="157"/>
      <c r="B56" s="5"/>
      <c r="C56" s="5" t="s">
        <v>10</v>
      </c>
      <c r="D56" s="1172"/>
      <c r="E56" s="1173"/>
      <c r="F56" s="1042"/>
      <c r="G56" s="1039"/>
      <c r="H56" s="1042"/>
      <c r="I56" s="1039"/>
      <c r="J56" s="1045"/>
      <c r="K56" s="1045"/>
      <c r="L56" s="1045"/>
      <c r="M56" s="1154"/>
      <c r="N56" s="1146"/>
      <c r="O56" s="1045"/>
      <c r="P56" s="1045"/>
      <c r="Q56" s="1042"/>
      <c r="R56" s="1039"/>
      <c r="S56" s="1045"/>
      <c r="T56" s="1045"/>
      <c r="U56" s="1079"/>
      <c r="V56" s="1121"/>
      <c r="W56" s="1045"/>
      <c r="X56" s="1045"/>
      <c r="Y56" s="259" t="s">
        <v>6</v>
      </c>
      <c r="Z56" s="240" t="s">
        <v>4</v>
      </c>
      <c r="AA56" s="7"/>
      <c r="AB56" s="7"/>
      <c r="AC56" s="228"/>
      <c r="AD56" s="7"/>
      <c r="AE56" s="7"/>
      <c r="AF56" s="7"/>
      <c r="AG56" s="7"/>
    </row>
    <row r="57" spans="1:33" ht="10.5" customHeight="1">
      <c r="A57" s="159"/>
      <c r="B57" s="4"/>
      <c r="C57" s="4"/>
      <c r="D57" s="1174"/>
      <c r="E57" s="1175"/>
      <c r="F57" s="1043"/>
      <c r="G57" s="1040"/>
      <c r="H57" s="1043"/>
      <c r="I57" s="1040"/>
      <c r="J57" s="1046"/>
      <c r="K57" s="1046"/>
      <c r="L57" s="1046"/>
      <c r="M57" s="1155"/>
      <c r="N57" s="1131"/>
      <c r="O57" s="1046"/>
      <c r="P57" s="1046"/>
      <c r="Q57" s="1043"/>
      <c r="R57" s="1040"/>
      <c r="S57" s="1046"/>
      <c r="T57" s="1046"/>
      <c r="U57" s="1080"/>
      <c r="V57" s="1122"/>
      <c r="W57" s="1046"/>
      <c r="X57" s="1046"/>
      <c r="Y57" s="258" t="s">
        <v>7</v>
      </c>
      <c r="Z57" s="243" t="s">
        <v>5</v>
      </c>
      <c r="AA57" s="7"/>
      <c r="AB57" s="7"/>
      <c r="AC57" s="228"/>
      <c r="AD57" s="7"/>
      <c r="AE57" s="7"/>
      <c r="AF57" s="7"/>
      <c r="AG57" s="7"/>
    </row>
    <row r="58" spans="1:33" ht="11.25" customHeight="1" thickBot="1">
      <c r="A58" s="64">
        <v>1</v>
      </c>
      <c r="B58" s="810">
        <v>2</v>
      </c>
      <c r="C58" s="72">
        <v>3</v>
      </c>
      <c r="D58" s="810">
        <v>4</v>
      </c>
      <c r="E58" s="80">
        <v>5</v>
      </c>
      <c r="F58" s="86">
        <v>6</v>
      </c>
      <c r="G58" s="76">
        <v>7</v>
      </c>
      <c r="H58" s="87">
        <v>8</v>
      </c>
      <c r="I58" s="80">
        <v>9</v>
      </c>
      <c r="J58" s="81">
        <v>10</v>
      </c>
      <c r="K58" s="96">
        <v>11</v>
      </c>
      <c r="L58" s="96">
        <v>12</v>
      </c>
      <c r="M58" s="262">
        <v>13</v>
      </c>
      <c r="N58" s="80">
        <v>14</v>
      </c>
      <c r="O58" s="81">
        <v>15</v>
      </c>
      <c r="P58" s="80">
        <v>16</v>
      </c>
      <c r="Q58" s="97">
        <v>17</v>
      </c>
      <c r="R58" s="93">
        <v>18</v>
      </c>
      <c r="S58" s="96">
        <v>19</v>
      </c>
      <c r="T58" s="98">
        <v>20</v>
      </c>
      <c r="U58" s="691">
        <v>21</v>
      </c>
      <c r="V58" s="93">
        <v>22</v>
      </c>
      <c r="W58" s="80">
        <v>23</v>
      </c>
      <c r="X58" s="96">
        <v>24</v>
      </c>
      <c r="Y58" s="86">
        <v>25</v>
      </c>
      <c r="Z58" s="809">
        <v>26</v>
      </c>
      <c r="AA58" s="7"/>
      <c r="AB58" s="7"/>
      <c r="AC58" s="228"/>
      <c r="AD58" s="7"/>
      <c r="AE58" s="7"/>
      <c r="AF58" s="7"/>
      <c r="AG58" s="7"/>
    </row>
    <row r="59" spans="1:33" ht="17.100000000000001" customHeight="1" thickTop="1">
      <c r="A59" s="135"/>
      <c r="B59" s="13"/>
      <c r="C59" s="77" t="s">
        <v>72</v>
      </c>
      <c r="D59" s="297"/>
      <c r="E59" s="277"/>
      <c r="F59" s="109"/>
      <c r="G59" s="94"/>
      <c r="H59" s="109"/>
      <c r="I59" s="94"/>
      <c r="J59" s="667"/>
      <c r="K59" s="277"/>
      <c r="L59" s="130">
        <v>35.4</v>
      </c>
      <c r="M59" s="435"/>
      <c r="N59" s="277"/>
      <c r="O59" s="130">
        <v>111</v>
      </c>
      <c r="P59" s="130"/>
      <c r="Q59" s="109"/>
      <c r="R59" s="142"/>
      <c r="S59" s="94"/>
      <c r="T59" s="94"/>
      <c r="U59" s="685"/>
      <c r="V59" s="410"/>
      <c r="W59" s="277"/>
      <c r="X59" s="94"/>
      <c r="Y59" s="290"/>
      <c r="Z59" s="116"/>
      <c r="AA59" s="7"/>
      <c r="AB59" s="7"/>
      <c r="AC59" s="228"/>
      <c r="AD59" s="7"/>
      <c r="AE59" s="7"/>
      <c r="AF59" s="7"/>
    </row>
    <row r="60" spans="1:33" ht="17.100000000000001" customHeight="1" thickBot="1">
      <c r="A60" s="346" t="s">
        <v>26</v>
      </c>
      <c r="B60" s="347">
        <v>28</v>
      </c>
      <c r="C60" s="348" t="s">
        <v>73</v>
      </c>
      <c r="D60" s="387"/>
      <c r="E60" s="353"/>
      <c r="F60" s="338"/>
      <c r="G60" s="337"/>
      <c r="H60" s="338"/>
      <c r="I60" s="337"/>
      <c r="J60" s="668"/>
      <c r="K60" s="353"/>
      <c r="L60" s="339">
        <f>L59*B25/1000</f>
        <v>3.54</v>
      </c>
      <c r="M60" s="352"/>
      <c r="N60" s="353"/>
      <c r="O60" s="339">
        <f>ROUND(O59*B25/1000,2)</f>
        <v>11.1</v>
      </c>
      <c r="P60" s="339"/>
      <c r="Q60" s="349"/>
      <c r="R60" s="340"/>
      <c r="S60" s="358"/>
      <c r="T60" s="358"/>
      <c r="U60" s="360"/>
      <c r="V60" s="350"/>
      <c r="W60" s="353"/>
      <c r="X60" s="337"/>
      <c r="Y60" s="343">
        <f>ROUND(E60+G60+I60+J60+K60+L60+N60+O60+P60+R60+S60+T60+V60+W60+X60,2)</f>
        <v>14.64</v>
      </c>
      <c r="Z60" s="344">
        <f>Y60*B60</f>
        <v>409.92</v>
      </c>
      <c r="AA60" s="7"/>
      <c r="AB60" s="7"/>
      <c r="AC60" s="223">
        <f>Y60+Y157</f>
        <v>26.630000000000003</v>
      </c>
      <c r="AD60" s="7" t="str">
        <f>A60</f>
        <v>Картофель</v>
      </c>
      <c r="AE60" s="7"/>
      <c r="AF60" s="7"/>
    </row>
    <row r="61" spans="1:33" ht="17.100000000000001" customHeight="1" thickTop="1">
      <c r="A61" s="133"/>
      <c r="B61" s="122"/>
      <c r="C61" s="77" t="s">
        <v>72</v>
      </c>
      <c r="D61" s="78"/>
      <c r="E61" s="268"/>
      <c r="F61" s="112"/>
      <c r="G61" s="106"/>
      <c r="H61" s="112"/>
      <c r="I61" s="106"/>
      <c r="J61" s="669"/>
      <c r="K61" s="268"/>
      <c r="L61" s="127">
        <v>13.2</v>
      </c>
      <c r="M61" s="693"/>
      <c r="N61" s="268"/>
      <c r="O61" s="127"/>
      <c r="P61" s="127"/>
      <c r="Q61" s="177"/>
      <c r="R61" s="106"/>
      <c r="S61" s="106"/>
      <c r="T61" s="106"/>
      <c r="U61" s="278"/>
      <c r="V61" s="500"/>
      <c r="W61" s="268"/>
      <c r="X61" s="106"/>
      <c r="Y61" s="291"/>
      <c r="Z61" s="123"/>
      <c r="AA61" s="7"/>
      <c r="AB61" s="7"/>
      <c r="AC61" s="224"/>
      <c r="AD61" s="7"/>
      <c r="AE61" s="7"/>
      <c r="AF61" s="7"/>
    </row>
    <row r="62" spans="1:33" ht="17.100000000000001" customHeight="1" thickBot="1">
      <c r="A62" s="346" t="s">
        <v>205</v>
      </c>
      <c r="B62" s="347">
        <v>190</v>
      </c>
      <c r="C62" s="348" t="s">
        <v>73</v>
      </c>
      <c r="D62" s="387"/>
      <c r="E62" s="353"/>
      <c r="F62" s="338"/>
      <c r="G62" s="337"/>
      <c r="H62" s="338"/>
      <c r="I62" s="337"/>
      <c r="J62" s="668"/>
      <c r="K62" s="353"/>
      <c r="L62" s="339">
        <f>L61*B25/1000</f>
        <v>1.32</v>
      </c>
      <c r="M62" s="361"/>
      <c r="N62" s="353"/>
      <c r="O62" s="340"/>
      <c r="P62" s="339"/>
      <c r="Q62" s="349"/>
      <c r="R62" s="337"/>
      <c r="S62" s="337"/>
      <c r="T62" s="337"/>
      <c r="U62" s="360"/>
      <c r="V62" s="501"/>
      <c r="W62" s="353"/>
      <c r="X62" s="337"/>
      <c r="Y62" s="343">
        <f>ROUND(E62+G62+I62+J62+K62+L62+N62+O62+P62+R62+S62+T62+V62+W62+X62,2)</f>
        <v>1.32</v>
      </c>
      <c r="Z62" s="344">
        <f>Y62*B62</f>
        <v>250.8</v>
      </c>
      <c r="AA62" s="7"/>
      <c r="AB62" s="7"/>
      <c r="AC62" s="223">
        <f>Y62+Y159</f>
        <v>2.1100000000000003</v>
      </c>
      <c r="AD62" s="7" t="str">
        <f>A62</f>
        <v>Горошек консерв.</v>
      </c>
      <c r="AE62" s="7"/>
      <c r="AF62" s="7"/>
    </row>
    <row r="63" spans="1:33" ht="17.100000000000001" customHeight="1" thickTop="1">
      <c r="A63" s="133"/>
      <c r="B63" s="122"/>
      <c r="C63" s="77" t="s">
        <v>72</v>
      </c>
      <c r="D63" s="78"/>
      <c r="E63" s="268"/>
      <c r="F63" s="112"/>
      <c r="G63" s="106"/>
      <c r="H63" s="112"/>
      <c r="I63" s="106"/>
      <c r="J63" s="669"/>
      <c r="K63" s="268"/>
      <c r="L63" s="106"/>
      <c r="M63" s="177">
        <f>2.4/20*M26</f>
        <v>2.4</v>
      </c>
      <c r="N63" s="129">
        <f>M63/M26*N26</f>
        <v>2.4</v>
      </c>
      <c r="O63" s="127">
        <v>8.6</v>
      </c>
      <c r="P63" s="106"/>
      <c r="Q63" s="665">
        <f>11/80*Q26</f>
        <v>11</v>
      </c>
      <c r="R63" s="181">
        <f>Q63/Q26*R26</f>
        <v>11</v>
      </c>
      <c r="S63" s="106"/>
      <c r="T63" s="106"/>
      <c r="U63" s="278"/>
      <c r="V63" s="499"/>
      <c r="W63" s="268"/>
      <c r="X63" s="106"/>
      <c r="Y63" s="291"/>
      <c r="Z63" s="124"/>
      <c r="AA63" s="7"/>
      <c r="AB63" s="7"/>
      <c r="AC63" s="224"/>
      <c r="AD63" s="7"/>
      <c r="AE63" s="7"/>
      <c r="AF63" s="7"/>
      <c r="AG63" s="7"/>
    </row>
    <row r="64" spans="1:33" ht="17.100000000000001" customHeight="1" thickBot="1">
      <c r="A64" s="346" t="s">
        <v>27</v>
      </c>
      <c r="B64" s="347">
        <v>37</v>
      </c>
      <c r="C64" s="348" t="s">
        <v>73</v>
      </c>
      <c r="D64" s="387"/>
      <c r="E64" s="353"/>
      <c r="F64" s="338"/>
      <c r="G64" s="337"/>
      <c r="H64" s="338"/>
      <c r="I64" s="337"/>
      <c r="J64" s="668"/>
      <c r="K64" s="353"/>
      <c r="L64" s="337"/>
      <c r="M64" s="349">
        <f>M63*B25/1000</f>
        <v>0.24</v>
      </c>
      <c r="N64" s="341">
        <f>ROUND(M64,2)</f>
        <v>0.24</v>
      </c>
      <c r="O64" s="339">
        <f>O63*B25/1000</f>
        <v>0.86</v>
      </c>
      <c r="P64" s="337"/>
      <c r="Q64" s="349">
        <f>Q63*Q25/1000</f>
        <v>1.1000000000000001</v>
      </c>
      <c r="R64" s="339">
        <f>Q64</f>
        <v>1.1000000000000001</v>
      </c>
      <c r="S64" s="337"/>
      <c r="T64" s="337"/>
      <c r="U64" s="360"/>
      <c r="V64" s="350"/>
      <c r="W64" s="353"/>
      <c r="X64" s="337"/>
      <c r="Y64" s="343">
        <f>ROUND(E64+G64+I64+J64+K64+L64+N64+O64+P64+R64+S64+T64+V64+W64+X64,2)</f>
        <v>2.2000000000000002</v>
      </c>
      <c r="Z64" s="351">
        <f>Y64*B64</f>
        <v>81.400000000000006</v>
      </c>
      <c r="AA64" s="7"/>
      <c r="AB64" s="7"/>
      <c r="AC64" s="223">
        <f>Y64+Y161</f>
        <v>4.01</v>
      </c>
      <c r="AD64" s="7" t="str">
        <f>A64</f>
        <v>Лук</v>
      </c>
      <c r="AE64" s="7"/>
      <c r="AF64" s="7"/>
      <c r="AG64" s="7"/>
    </row>
    <row r="65" spans="1:33" ht="17.100000000000001" customHeight="1" thickTop="1">
      <c r="A65" s="133"/>
      <c r="B65" s="122"/>
      <c r="C65" s="77" t="s">
        <v>72</v>
      </c>
      <c r="D65" s="78"/>
      <c r="E65" s="268"/>
      <c r="F65" s="112"/>
      <c r="G65" s="106"/>
      <c r="H65" s="112"/>
      <c r="I65" s="106"/>
      <c r="J65" s="669"/>
      <c r="K65" s="268"/>
      <c r="L65" s="127">
        <v>16.899999999999999</v>
      </c>
      <c r="M65" s="850"/>
      <c r="N65" s="268"/>
      <c r="O65" s="127">
        <v>9.6</v>
      </c>
      <c r="P65" s="106"/>
      <c r="Q65" s="665">
        <f>29/80*Q26</f>
        <v>29</v>
      </c>
      <c r="R65" s="129">
        <f>Q65/Q26*R26</f>
        <v>29</v>
      </c>
      <c r="S65" s="106"/>
      <c r="T65" s="106"/>
      <c r="U65" s="278"/>
      <c r="V65" s="499"/>
      <c r="W65" s="268"/>
      <c r="X65" s="106"/>
      <c r="Y65" s="291"/>
      <c r="Z65" s="123"/>
      <c r="AA65" s="7"/>
      <c r="AB65" s="7"/>
      <c r="AC65" s="224"/>
      <c r="AD65" s="7"/>
      <c r="AE65" s="7"/>
      <c r="AF65" s="7"/>
      <c r="AG65" s="7"/>
    </row>
    <row r="66" spans="1:33" ht="17.100000000000001" customHeight="1" thickBot="1">
      <c r="A66" s="346" t="s">
        <v>28</v>
      </c>
      <c r="B66" s="347">
        <v>38</v>
      </c>
      <c r="C66" s="348" t="s">
        <v>73</v>
      </c>
      <c r="D66" s="387"/>
      <c r="E66" s="353"/>
      <c r="F66" s="338"/>
      <c r="G66" s="337"/>
      <c r="H66" s="338"/>
      <c r="I66" s="337"/>
      <c r="J66" s="668"/>
      <c r="K66" s="353"/>
      <c r="L66" s="339">
        <f>L65*B25/1000</f>
        <v>1.6899999999999997</v>
      </c>
      <c r="M66" s="361"/>
      <c r="N66" s="553"/>
      <c r="O66" s="339">
        <f>O65*B25/1000</f>
        <v>0.96</v>
      </c>
      <c r="P66" s="337"/>
      <c r="Q66" s="349">
        <f>Q65*Q25/1000</f>
        <v>2.9</v>
      </c>
      <c r="R66" s="339">
        <f>Q66</f>
        <v>2.9</v>
      </c>
      <c r="S66" s="337"/>
      <c r="T66" s="337"/>
      <c r="U66" s="360"/>
      <c r="V66" s="350"/>
      <c r="W66" s="353"/>
      <c r="X66" s="337"/>
      <c r="Y66" s="343">
        <f>ROUND(E66+G66+I66+J66+K66+L66+N66+O66+P66+R66+S66+T66+V66+W66+X66,2)</f>
        <v>5.55</v>
      </c>
      <c r="Z66" s="344">
        <f>Y66*B66</f>
        <v>210.9</v>
      </c>
      <c r="AA66" s="7"/>
      <c r="AB66" s="7"/>
      <c r="AC66" s="223">
        <f>Y66+Y163</f>
        <v>9.7100000000000009</v>
      </c>
      <c r="AD66" s="7" t="str">
        <f>A66</f>
        <v>Морковь</v>
      </c>
      <c r="AE66" s="7"/>
      <c r="AF66" s="7"/>
      <c r="AG66" s="7"/>
    </row>
    <row r="67" spans="1:33" ht="17.100000000000001" customHeight="1" thickTop="1">
      <c r="A67" s="133"/>
      <c r="B67" s="122"/>
      <c r="C67" s="77" t="s">
        <v>72</v>
      </c>
      <c r="D67" s="489">
        <v>20</v>
      </c>
      <c r="E67" s="184">
        <f>D67/D26*E26</f>
        <v>20</v>
      </c>
      <c r="F67" s="112"/>
      <c r="G67" s="106"/>
      <c r="H67" s="112"/>
      <c r="I67" s="106"/>
      <c r="J67" s="184">
        <f>J68/B25*1000</f>
        <v>20</v>
      </c>
      <c r="K67" s="184"/>
      <c r="L67" s="106"/>
      <c r="M67" s="270"/>
      <c r="N67" s="268"/>
      <c r="O67" s="106"/>
      <c r="P67" s="106"/>
      <c r="Q67" s="177"/>
      <c r="R67" s="114"/>
      <c r="S67" s="106"/>
      <c r="T67" s="106"/>
      <c r="U67" s="688"/>
      <c r="V67" s="500"/>
      <c r="W67" s="268"/>
      <c r="X67" s="128"/>
      <c r="Y67" s="291"/>
      <c r="Z67" s="123"/>
      <c r="AA67" s="7"/>
      <c r="AB67" s="7"/>
      <c r="AC67" s="224"/>
      <c r="AD67" s="7"/>
      <c r="AE67" s="7"/>
      <c r="AF67" s="7"/>
      <c r="AG67" s="7"/>
    </row>
    <row r="68" spans="1:33" ht="17.100000000000001" customHeight="1" thickBot="1">
      <c r="A68" s="346" t="s">
        <v>62</v>
      </c>
      <c r="B68" s="347">
        <v>81.099999999999994</v>
      </c>
      <c r="C68" s="348" t="s">
        <v>73</v>
      </c>
      <c r="D68" s="490">
        <f>D67*F25/1000</f>
        <v>2</v>
      </c>
      <c r="E68" s="341">
        <f>D68</f>
        <v>2</v>
      </c>
      <c r="F68" s="338"/>
      <c r="G68" s="337"/>
      <c r="H68" s="338"/>
      <c r="I68" s="337"/>
      <c r="J68" s="341">
        <v>2</v>
      </c>
      <c r="K68" s="341"/>
      <c r="L68" s="337"/>
      <c r="M68" s="352"/>
      <c r="N68" s="353"/>
      <c r="O68" s="337"/>
      <c r="P68" s="337"/>
      <c r="Q68" s="349"/>
      <c r="R68" s="340"/>
      <c r="S68" s="337"/>
      <c r="T68" s="337"/>
      <c r="U68" s="675"/>
      <c r="V68" s="501"/>
      <c r="W68" s="353"/>
      <c r="X68" s="339"/>
      <c r="Y68" s="343">
        <f>ROUND(E68+G68+I68+J68+K68+L68+N68+O68+P68+R68+S68+T68+V68+W68+X68,2)</f>
        <v>4</v>
      </c>
      <c r="Z68" s="344">
        <f>Y68*B68</f>
        <v>324.39999999999998</v>
      </c>
      <c r="AA68" s="7"/>
      <c r="AB68" s="7"/>
      <c r="AC68" s="223">
        <f>Y68+Y165</f>
        <v>7</v>
      </c>
      <c r="AD68" s="7" t="str">
        <f>A68</f>
        <v>Батон витам.</v>
      </c>
      <c r="AE68" s="7"/>
      <c r="AF68" s="7"/>
      <c r="AG68" s="7"/>
    </row>
    <row r="69" spans="1:33" ht="17.100000000000001" customHeight="1" thickTop="1">
      <c r="A69" s="133"/>
      <c r="B69" s="122"/>
      <c r="C69" s="77" t="s">
        <v>72</v>
      </c>
      <c r="D69" s="287"/>
      <c r="E69" s="268"/>
      <c r="F69" s="112"/>
      <c r="G69" s="106"/>
      <c r="H69" s="112"/>
      <c r="I69" s="106"/>
      <c r="J69" s="563"/>
      <c r="K69" s="268"/>
      <c r="L69" s="106"/>
      <c r="M69" s="270"/>
      <c r="N69" s="268"/>
      <c r="O69" s="106"/>
      <c r="P69" s="106"/>
      <c r="Q69" s="112"/>
      <c r="R69" s="106"/>
      <c r="S69" s="106"/>
      <c r="T69" s="128">
        <f>T70/T25*1000</f>
        <v>40</v>
      </c>
      <c r="U69" s="687"/>
      <c r="V69" s="268"/>
      <c r="W69" s="268"/>
      <c r="X69" s="106"/>
      <c r="Y69" s="291"/>
      <c r="Z69" s="123"/>
      <c r="AA69" s="7"/>
      <c r="AB69" s="7"/>
      <c r="AC69" s="224"/>
      <c r="AD69" s="7"/>
      <c r="AE69" s="7"/>
      <c r="AF69" s="7"/>
      <c r="AG69" s="7"/>
    </row>
    <row r="70" spans="1:33" ht="17.100000000000001" customHeight="1" thickBot="1">
      <c r="A70" s="346" t="s">
        <v>82</v>
      </c>
      <c r="B70" s="347">
        <v>55</v>
      </c>
      <c r="C70" s="348" t="s">
        <v>73</v>
      </c>
      <c r="D70" s="385"/>
      <c r="E70" s="353"/>
      <c r="F70" s="338"/>
      <c r="G70" s="337"/>
      <c r="H70" s="338"/>
      <c r="I70" s="337"/>
      <c r="J70" s="668"/>
      <c r="K70" s="353"/>
      <c r="L70" s="337"/>
      <c r="M70" s="352"/>
      <c r="N70" s="353"/>
      <c r="O70" s="337"/>
      <c r="P70" s="337"/>
      <c r="Q70" s="338"/>
      <c r="R70" s="337"/>
      <c r="S70" s="337"/>
      <c r="T70" s="339">
        <v>4</v>
      </c>
      <c r="U70" s="675"/>
      <c r="V70" s="353"/>
      <c r="W70" s="353"/>
      <c r="X70" s="337"/>
      <c r="Y70" s="343">
        <f>ROUND(E70+G70+I70+J70+K70+L70+N70+O70+P70+R70+S70+T70+V70+W70+X70,2)</f>
        <v>4</v>
      </c>
      <c r="Z70" s="344">
        <f>Y70*B70</f>
        <v>220</v>
      </c>
      <c r="AA70" s="7"/>
      <c r="AB70" s="7"/>
      <c r="AC70" s="226">
        <f>Y70+Y167</f>
        <v>7</v>
      </c>
      <c r="AD70" s="7" t="str">
        <f>A70</f>
        <v>Хлеб рж-пшен.</v>
      </c>
      <c r="AE70" s="7"/>
      <c r="AF70" s="7"/>
      <c r="AG70" s="7"/>
    </row>
    <row r="71" spans="1:33" ht="17.100000000000001" customHeight="1" thickTop="1">
      <c r="A71" s="133"/>
      <c r="B71" s="122"/>
      <c r="C71" s="77" t="s">
        <v>72</v>
      </c>
      <c r="D71" s="287"/>
      <c r="E71" s="268"/>
      <c r="F71" s="112"/>
      <c r="G71" s="106"/>
      <c r="H71" s="112"/>
      <c r="I71" s="106"/>
      <c r="J71" s="669"/>
      <c r="K71" s="268"/>
      <c r="L71" s="106"/>
      <c r="M71" s="270"/>
      <c r="N71" s="268"/>
      <c r="O71" s="106"/>
      <c r="P71" s="106"/>
      <c r="Q71" s="112"/>
      <c r="R71" s="106"/>
      <c r="S71" s="106"/>
      <c r="T71" s="106"/>
      <c r="U71" s="688"/>
      <c r="V71" s="268"/>
      <c r="W71" s="268"/>
      <c r="X71" s="128">
        <f>X72/X25*1000</f>
        <v>20</v>
      </c>
      <c r="Y71" s="291"/>
      <c r="Z71" s="123"/>
      <c r="AA71" s="7"/>
      <c r="AB71" s="7"/>
      <c r="AC71" s="228"/>
      <c r="AD71" s="7"/>
      <c r="AE71" s="7"/>
      <c r="AF71" s="7"/>
      <c r="AG71" s="7"/>
    </row>
    <row r="72" spans="1:33" ht="17.100000000000001" customHeight="1" thickBot="1">
      <c r="A72" s="346" t="s">
        <v>84</v>
      </c>
      <c r="B72" s="347">
        <v>61.3</v>
      </c>
      <c r="C72" s="348" t="s">
        <v>73</v>
      </c>
      <c r="D72" s="385"/>
      <c r="E72" s="353"/>
      <c r="F72" s="338"/>
      <c r="G72" s="337"/>
      <c r="H72" s="338"/>
      <c r="I72" s="337"/>
      <c r="J72" s="668"/>
      <c r="K72" s="353"/>
      <c r="L72" s="337"/>
      <c r="M72" s="352"/>
      <c r="N72" s="353"/>
      <c r="O72" s="337"/>
      <c r="P72" s="337"/>
      <c r="Q72" s="338"/>
      <c r="R72" s="337"/>
      <c r="S72" s="337"/>
      <c r="T72" s="337"/>
      <c r="U72" s="675"/>
      <c r="V72" s="353"/>
      <c r="W72" s="353"/>
      <c r="X72" s="342">
        <v>2</v>
      </c>
      <c r="Y72" s="343">
        <f>ROUND(E72+G72+I72+J72+K72+L72+N72+O72+P72+R72+S72+T72+V72+W72+X72,2)</f>
        <v>2</v>
      </c>
      <c r="Z72" s="344">
        <f>Y72*B72</f>
        <v>122.6</v>
      </c>
      <c r="AA72" s="7"/>
      <c r="AB72" s="7"/>
      <c r="AC72" s="223">
        <f>Y72+Y169</f>
        <v>3</v>
      </c>
      <c r="AD72" s="7" t="str">
        <f>A72</f>
        <v xml:space="preserve">Хлеб  йод. пш. </v>
      </c>
      <c r="AE72" s="7"/>
      <c r="AF72" s="7"/>
      <c r="AG72" s="7"/>
    </row>
    <row r="73" spans="1:33" ht="17.100000000000001" customHeight="1" thickTop="1">
      <c r="A73" s="133"/>
      <c r="B73" s="122"/>
      <c r="C73" s="77" t="s">
        <v>72</v>
      </c>
      <c r="D73" s="287"/>
      <c r="E73" s="268"/>
      <c r="F73" s="112"/>
      <c r="G73" s="106"/>
      <c r="H73" s="112">
        <v>2</v>
      </c>
      <c r="I73" s="114">
        <f>H73/H26*I26</f>
        <v>2</v>
      </c>
      <c r="J73" s="669"/>
      <c r="K73" s="268"/>
      <c r="L73" s="106"/>
      <c r="M73" s="270"/>
      <c r="N73" s="137"/>
      <c r="O73" s="106"/>
      <c r="P73" s="106"/>
      <c r="Q73" s="112"/>
      <c r="R73" s="106"/>
      <c r="S73" s="106"/>
      <c r="T73" s="106"/>
      <c r="U73" s="278"/>
      <c r="V73" s="272"/>
      <c r="W73" s="272"/>
      <c r="X73" s="106"/>
      <c r="Y73" s="291"/>
      <c r="Z73" s="123"/>
      <c r="AA73" s="7"/>
      <c r="AB73" s="7"/>
      <c r="AC73" s="224"/>
      <c r="AD73" s="7"/>
      <c r="AE73" s="7"/>
      <c r="AF73" s="7"/>
      <c r="AG73" s="7"/>
    </row>
    <row r="74" spans="1:33" ht="17.100000000000001" customHeight="1" thickBot="1">
      <c r="A74" s="346" t="s">
        <v>116</v>
      </c>
      <c r="B74" s="347">
        <v>450</v>
      </c>
      <c r="C74" s="348" t="s">
        <v>73</v>
      </c>
      <c r="D74" s="385"/>
      <c r="E74" s="353"/>
      <c r="F74" s="338"/>
      <c r="G74" s="337"/>
      <c r="H74" s="469">
        <f>H73*F25/1000</f>
        <v>0.2</v>
      </c>
      <c r="I74" s="357">
        <f>H74</f>
        <v>0.2</v>
      </c>
      <c r="J74" s="668"/>
      <c r="K74" s="353"/>
      <c r="L74" s="337"/>
      <c r="M74" s="352"/>
      <c r="N74" s="341"/>
      <c r="O74" s="337"/>
      <c r="P74" s="337"/>
      <c r="Q74" s="338"/>
      <c r="R74" s="337"/>
      <c r="S74" s="337"/>
      <c r="T74" s="337"/>
      <c r="U74" s="360"/>
      <c r="V74" s="341"/>
      <c r="W74" s="354"/>
      <c r="X74" s="337"/>
      <c r="Y74" s="356">
        <f>ROUND(E74+G74+I74+J74+K74+L74+N74+O74+P74+R74+S74+T74+V74+W74+X74,3)</f>
        <v>0.2</v>
      </c>
      <c r="Z74" s="344">
        <f>Y74*B74</f>
        <v>90</v>
      </c>
      <c r="AA74" s="7"/>
      <c r="AB74" s="7"/>
      <c r="AC74" s="225">
        <f>Y74+Y171</f>
        <v>0.4</v>
      </c>
      <c r="AD74" s="7" t="str">
        <f>A74</f>
        <v>Какао</v>
      </c>
      <c r="AE74" s="7"/>
      <c r="AF74" s="7"/>
      <c r="AG74" s="7"/>
    </row>
    <row r="75" spans="1:33" ht="17.100000000000001" customHeight="1" thickTop="1">
      <c r="A75" s="133"/>
      <c r="B75" s="122"/>
      <c r="C75" s="77" t="s">
        <v>72</v>
      </c>
      <c r="D75" s="287"/>
      <c r="E75" s="268"/>
      <c r="F75" s="112"/>
      <c r="G75" s="106"/>
      <c r="H75" s="108"/>
      <c r="I75" s="129"/>
      <c r="J75" s="669"/>
      <c r="K75" s="268"/>
      <c r="L75" s="106"/>
      <c r="M75" s="269"/>
      <c r="N75" s="268"/>
      <c r="O75" s="106"/>
      <c r="P75" s="106"/>
      <c r="Q75" s="112"/>
      <c r="R75" s="106"/>
      <c r="S75" s="106"/>
      <c r="T75" s="106"/>
      <c r="U75" s="688"/>
      <c r="V75" s="268"/>
      <c r="W75" s="272">
        <v>0.5</v>
      </c>
      <c r="X75" s="106"/>
      <c r="Y75" s="291"/>
      <c r="Z75" s="123"/>
      <c r="AA75" s="7"/>
      <c r="AB75" s="7"/>
      <c r="AC75" s="224"/>
      <c r="AD75" s="7"/>
      <c r="AE75" s="7"/>
      <c r="AF75" s="7"/>
      <c r="AG75" s="7"/>
    </row>
    <row r="76" spans="1:33" ht="17.100000000000001" customHeight="1" thickBot="1">
      <c r="A76" s="346" t="s">
        <v>29</v>
      </c>
      <c r="B76" s="347">
        <v>500</v>
      </c>
      <c r="C76" s="348" t="s">
        <v>73</v>
      </c>
      <c r="D76" s="385"/>
      <c r="E76" s="353"/>
      <c r="F76" s="338"/>
      <c r="G76" s="337"/>
      <c r="H76" s="349"/>
      <c r="I76" s="367"/>
      <c r="J76" s="668"/>
      <c r="K76" s="353"/>
      <c r="L76" s="337"/>
      <c r="M76" s="352"/>
      <c r="N76" s="353"/>
      <c r="O76" s="337"/>
      <c r="P76" s="337"/>
      <c r="Q76" s="338"/>
      <c r="R76" s="337"/>
      <c r="S76" s="337"/>
      <c r="T76" s="337"/>
      <c r="U76" s="675"/>
      <c r="V76" s="353"/>
      <c r="W76" s="366">
        <f>W75*W25/1000</f>
        <v>0.05</v>
      </c>
      <c r="X76" s="337"/>
      <c r="Y76" s="356">
        <f>ROUND(E76+G76+I76+J76+K76+L76+N76+O76+P76+R76+S76+T76+V76+W76+X76,3)</f>
        <v>0.05</v>
      </c>
      <c r="Z76" s="344">
        <f>Y76*B76</f>
        <v>25</v>
      </c>
      <c r="AA76" s="7"/>
      <c r="AB76" s="7"/>
      <c r="AC76" s="225">
        <f>Y76+Y173</f>
        <v>0.08</v>
      </c>
      <c r="AD76" s="7" t="str">
        <f>A76</f>
        <v>Чай</v>
      </c>
      <c r="AE76" s="7"/>
      <c r="AF76" s="7"/>
      <c r="AG76" s="7"/>
    </row>
    <row r="77" spans="1:33" ht="17.100000000000001" customHeight="1" thickTop="1">
      <c r="A77" s="133"/>
      <c r="B77" s="122"/>
      <c r="C77" s="77" t="s">
        <v>72</v>
      </c>
      <c r="D77" s="287"/>
      <c r="E77" s="268"/>
      <c r="F77" s="112"/>
      <c r="G77" s="106"/>
      <c r="H77" s="112"/>
      <c r="I77" s="106"/>
      <c r="J77" s="669"/>
      <c r="K77" s="268"/>
      <c r="L77" s="114"/>
      <c r="M77" s="693"/>
      <c r="N77" s="268"/>
      <c r="O77" s="106"/>
      <c r="P77" s="106"/>
      <c r="Q77" s="112"/>
      <c r="R77" s="106"/>
      <c r="S77" s="106">
        <v>0.18</v>
      </c>
      <c r="T77" s="106"/>
      <c r="U77" s="278"/>
      <c r="V77" s="268"/>
      <c r="W77" s="268"/>
      <c r="X77" s="106"/>
      <c r="Y77" s="291"/>
      <c r="Z77" s="123"/>
      <c r="AA77" s="7"/>
      <c r="AB77" s="7"/>
      <c r="AC77" s="224"/>
      <c r="AD77" s="7"/>
      <c r="AE77" s="7"/>
      <c r="AF77" s="7"/>
      <c r="AG77" s="7"/>
    </row>
    <row r="78" spans="1:33" ht="17.100000000000001" customHeight="1" thickBot="1">
      <c r="A78" s="346" t="s">
        <v>75</v>
      </c>
      <c r="B78" s="347">
        <v>900</v>
      </c>
      <c r="C78" s="348" t="s">
        <v>73</v>
      </c>
      <c r="D78" s="385"/>
      <c r="E78" s="353"/>
      <c r="F78" s="338"/>
      <c r="G78" s="337"/>
      <c r="H78" s="338"/>
      <c r="I78" s="337"/>
      <c r="J78" s="668"/>
      <c r="K78" s="353"/>
      <c r="L78" s="342"/>
      <c r="M78" s="361"/>
      <c r="N78" s="353"/>
      <c r="O78" s="342"/>
      <c r="P78" s="337"/>
      <c r="Q78" s="338"/>
      <c r="R78" s="337"/>
      <c r="S78" s="600">
        <f>S77*B25/1000</f>
        <v>1.7999999999999999E-2</v>
      </c>
      <c r="T78" s="337"/>
      <c r="U78" s="360"/>
      <c r="V78" s="353"/>
      <c r="W78" s="354"/>
      <c r="X78" s="337"/>
      <c r="Y78" s="356">
        <f>ROUND(E78+G78+I78+J78+K78+L78+N78+O78+P78+R78+S78+T78+V78+W78+X78,3)</f>
        <v>1.7999999999999999E-2</v>
      </c>
      <c r="Z78" s="344">
        <f>Y78*B78</f>
        <v>16.2</v>
      </c>
      <c r="AA78" s="7"/>
      <c r="AB78" s="7"/>
      <c r="AC78" s="223">
        <f>Y78+Y175</f>
        <v>3.3000000000000002E-2</v>
      </c>
      <c r="AD78" s="7" t="str">
        <f>A78</f>
        <v>Лимонная к-та</v>
      </c>
      <c r="AE78" s="7"/>
      <c r="AF78" s="7"/>
      <c r="AG78" s="7"/>
    </row>
    <row r="79" spans="1:33" ht="17.100000000000001" customHeight="1" thickTop="1">
      <c r="A79" s="133"/>
      <c r="B79" s="122"/>
      <c r="C79" s="77" t="s">
        <v>72</v>
      </c>
      <c r="D79" s="287"/>
      <c r="E79" s="271"/>
      <c r="F79" s="112"/>
      <c r="G79" s="105"/>
      <c r="H79" s="112"/>
      <c r="I79" s="105"/>
      <c r="J79" s="669"/>
      <c r="K79" s="271"/>
      <c r="L79" s="105"/>
      <c r="M79" s="273"/>
      <c r="N79" s="271"/>
      <c r="O79" s="127">
        <v>0.7</v>
      </c>
      <c r="P79" s="105"/>
      <c r="Q79" s="665">
        <f>0.8/80*Q26</f>
        <v>0.8</v>
      </c>
      <c r="R79" s="181">
        <f>Q79/Q26*R26</f>
        <v>0.8</v>
      </c>
      <c r="S79" s="127"/>
      <c r="T79" s="105"/>
      <c r="U79" s="278"/>
      <c r="V79" s="271"/>
      <c r="W79" s="271"/>
      <c r="X79" s="105"/>
      <c r="Y79" s="291"/>
      <c r="Z79" s="123"/>
      <c r="AA79" s="7"/>
      <c r="AB79" s="7"/>
      <c r="AC79" s="224"/>
      <c r="AD79" s="7"/>
      <c r="AE79" s="7"/>
      <c r="AF79" s="7"/>
      <c r="AG79" s="7"/>
    </row>
    <row r="80" spans="1:33" ht="17.100000000000001" customHeight="1" thickBot="1">
      <c r="A80" s="134" t="s">
        <v>97</v>
      </c>
      <c r="B80" s="347">
        <v>370</v>
      </c>
      <c r="C80" s="348" t="s">
        <v>73</v>
      </c>
      <c r="D80" s="385"/>
      <c r="E80" s="353"/>
      <c r="F80" s="338"/>
      <c r="G80" s="337"/>
      <c r="H80" s="338"/>
      <c r="I80" s="337"/>
      <c r="J80" s="668"/>
      <c r="K80" s="353"/>
      <c r="L80" s="337"/>
      <c r="M80" s="352"/>
      <c r="N80" s="353"/>
      <c r="O80" s="339">
        <f>O79*B25/1000</f>
        <v>7.0000000000000007E-2</v>
      </c>
      <c r="P80" s="337"/>
      <c r="Q80" s="349">
        <f>Q79*Q25/1000</f>
        <v>0.08</v>
      </c>
      <c r="R80" s="339">
        <f>Q80</f>
        <v>0.08</v>
      </c>
      <c r="S80" s="339"/>
      <c r="T80" s="337"/>
      <c r="U80" s="360"/>
      <c r="V80" s="353"/>
      <c r="W80" s="353"/>
      <c r="X80" s="337"/>
      <c r="Y80" s="343">
        <f>ROUND(E80+G80+I80+J80+K80+L80+N80+O80+P80+R80+S80+T80+V80+W80+X80,2)</f>
        <v>0.15</v>
      </c>
      <c r="Z80" s="344">
        <f>Y80*B80</f>
        <v>55.5</v>
      </c>
      <c r="AA80" s="7"/>
      <c r="AB80" s="7"/>
      <c r="AC80" s="223">
        <f>Y80+Y177</f>
        <v>0.15</v>
      </c>
      <c r="AD80" s="7" t="str">
        <f>A80</f>
        <v>Паста том.</v>
      </c>
      <c r="AE80" s="7"/>
      <c r="AF80" s="7"/>
      <c r="AG80" s="7"/>
    </row>
    <row r="81" spans="1:33" ht="17.100000000000001" customHeight="1" thickTop="1">
      <c r="A81" s="133"/>
      <c r="B81" s="122"/>
      <c r="C81" s="77" t="s">
        <v>72</v>
      </c>
      <c r="D81" s="287"/>
      <c r="E81" s="268"/>
      <c r="F81" s="112"/>
      <c r="G81" s="106"/>
      <c r="H81" s="112"/>
      <c r="I81" s="106"/>
      <c r="J81" s="669"/>
      <c r="K81" s="268"/>
      <c r="L81" s="106"/>
      <c r="M81" s="269"/>
      <c r="N81" s="268"/>
      <c r="O81" s="127"/>
      <c r="P81" s="127"/>
      <c r="Q81" s="112"/>
      <c r="R81" s="251"/>
      <c r="S81" s="106"/>
      <c r="T81" s="106"/>
      <c r="U81" s="688"/>
      <c r="V81" s="686"/>
      <c r="W81" s="268"/>
      <c r="X81" s="106"/>
      <c r="Y81" s="291"/>
      <c r="Z81" s="123"/>
      <c r="AA81" s="7"/>
      <c r="AB81" s="7"/>
      <c r="AC81" s="224"/>
      <c r="AD81" s="7"/>
      <c r="AE81" s="7"/>
      <c r="AF81" s="7"/>
      <c r="AG81" s="7"/>
    </row>
    <row r="82" spans="1:33" ht="17.100000000000001" customHeight="1" thickBot="1">
      <c r="A82" s="346"/>
      <c r="B82" s="347"/>
      <c r="C82" s="348" t="s">
        <v>73</v>
      </c>
      <c r="D82" s="385"/>
      <c r="E82" s="353"/>
      <c r="F82" s="338"/>
      <c r="G82" s="337"/>
      <c r="H82" s="338"/>
      <c r="I82" s="337"/>
      <c r="J82" s="668"/>
      <c r="K82" s="353"/>
      <c r="L82" s="337"/>
      <c r="M82" s="352"/>
      <c r="N82" s="353"/>
      <c r="O82" s="339"/>
      <c r="P82" s="340"/>
      <c r="Q82" s="338"/>
      <c r="R82" s="358"/>
      <c r="S82" s="337"/>
      <c r="T82" s="337"/>
      <c r="U82" s="352"/>
      <c r="V82" s="367"/>
      <c r="W82" s="353"/>
      <c r="X82" s="337"/>
      <c r="Y82" s="343">
        <f>ROUND(E82+G82+I82+J82+K82+L82+N82+O82+P82+R82+S82+T82+V82+W82+X82,2)</f>
        <v>0</v>
      </c>
      <c r="Z82" s="344">
        <f>Y82*B82</f>
        <v>0</v>
      </c>
      <c r="AA82" s="7"/>
      <c r="AB82" s="7"/>
      <c r="AC82" s="223">
        <f>Y82+Y179</f>
        <v>0</v>
      </c>
      <c r="AD82" s="7">
        <f>A82</f>
        <v>0</v>
      </c>
      <c r="AE82" s="7"/>
      <c r="AF82" s="7"/>
      <c r="AG82" s="7"/>
    </row>
    <row r="83" spans="1:33" ht="17.100000000000001" customHeight="1" thickTop="1">
      <c r="A83" s="133"/>
      <c r="B83" s="122"/>
      <c r="C83" s="77" t="s">
        <v>72</v>
      </c>
      <c r="D83" s="287"/>
      <c r="E83" s="268"/>
      <c r="F83" s="112"/>
      <c r="G83" s="114"/>
      <c r="H83" s="112"/>
      <c r="I83" s="106"/>
      <c r="J83" s="669"/>
      <c r="K83" s="268"/>
      <c r="L83" s="106"/>
      <c r="M83" s="274"/>
      <c r="N83" s="268"/>
      <c r="O83" s="106"/>
      <c r="P83" s="106"/>
      <c r="Q83" s="112"/>
      <c r="R83" s="252"/>
      <c r="S83" s="106"/>
      <c r="T83" s="106"/>
      <c r="U83" s="112"/>
      <c r="V83" s="114"/>
      <c r="W83" s="268"/>
      <c r="X83" s="106"/>
      <c r="Y83" s="291"/>
      <c r="Z83" s="123"/>
      <c r="AA83" s="7"/>
      <c r="AB83" s="7"/>
      <c r="AC83" s="224"/>
      <c r="AD83" s="7"/>
      <c r="AE83" s="7"/>
      <c r="AF83" s="7"/>
      <c r="AG83" s="7"/>
    </row>
    <row r="84" spans="1:33" ht="17.100000000000001" customHeight="1" thickBot="1">
      <c r="A84" s="346"/>
      <c r="B84" s="347"/>
      <c r="C84" s="348" t="s">
        <v>73</v>
      </c>
      <c r="D84" s="385"/>
      <c r="E84" s="353"/>
      <c r="F84" s="349"/>
      <c r="G84" s="339"/>
      <c r="H84" s="338"/>
      <c r="I84" s="337"/>
      <c r="J84" s="668"/>
      <c r="K84" s="353"/>
      <c r="L84" s="337"/>
      <c r="M84" s="361"/>
      <c r="N84" s="341"/>
      <c r="O84" s="339"/>
      <c r="P84" s="339"/>
      <c r="Q84" s="349"/>
      <c r="R84" s="339"/>
      <c r="S84" s="337"/>
      <c r="T84" s="337"/>
      <c r="U84" s="349"/>
      <c r="V84" s="339"/>
      <c r="W84" s="353"/>
      <c r="X84" s="337"/>
      <c r="Y84" s="343">
        <f>ROUND(E84+G84+I84+J84+K84+L84+N84+O84+P84+R84+S84+T84+V84+W84+X84,2)</f>
        <v>0</v>
      </c>
      <c r="Z84" s="344">
        <f>Y84*B84</f>
        <v>0</v>
      </c>
      <c r="AA84" s="7"/>
      <c r="AB84" s="7"/>
      <c r="AC84" s="223">
        <f>Y84+Y181</f>
        <v>0</v>
      </c>
      <c r="AD84" s="7">
        <f>A84</f>
        <v>0</v>
      </c>
      <c r="AE84" s="7"/>
      <c r="AF84" s="7"/>
      <c r="AG84" s="7"/>
    </row>
    <row r="85" spans="1:33" ht="17.100000000000001" customHeight="1" thickTop="1">
      <c r="A85" s="133"/>
      <c r="B85" s="122"/>
      <c r="C85" s="77" t="s">
        <v>72</v>
      </c>
      <c r="D85" s="78"/>
      <c r="E85" s="268"/>
      <c r="F85" s="112"/>
      <c r="G85" s="106"/>
      <c r="H85" s="112"/>
      <c r="I85" s="106"/>
      <c r="J85" s="669"/>
      <c r="K85" s="268"/>
      <c r="L85" s="106"/>
      <c r="M85" s="270"/>
      <c r="N85" s="184"/>
      <c r="O85" s="106"/>
      <c r="P85" s="106"/>
      <c r="Q85" s="177"/>
      <c r="R85" s="129"/>
      <c r="S85" s="106"/>
      <c r="T85" s="106"/>
      <c r="U85" s="405"/>
      <c r="V85" s="268"/>
      <c r="W85" s="272"/>
      <c r="X85" s="106"/>
      <c r="Y85" s="291"/>
      <c r="Z85" s="123"/>
      <c r="AA85" s="7"/>
      <c r="AB85" s="7"/>
      <c r="AC85" s="224"/>
      <c r="AD85" s="7"/>
      <c r="AE85" s="7"/>
      <c r="AF85" s="7"/>
      <c r="AG85" s="7"/>
    </row>
    <row r="86" spans="1:33" ht="17.100000000000001" customHeight="1" thickBot="1">
      <c r="A86" s="346"/>
      <c r="B86" s="347"/>
      <c r="C86" s="348" t="s">
        <v>73</v>
      </c>
      <c r="D86" s="387"/>
      <c r="E86" s="353"/>
      <c r="F86" s="338"/>
      <c r="G86" s="337"/>
      <c r="H86" s="338"/>
      <c r="I86" s="337"/>
      <c r="J86" s="668"/>
      <c r="K86" s="353"/>
      <c r="L86" s="337"/>
      <c r="M86" s="361"/>
      <c r="N86" s="553"/>
      <c r="O86" s="339"/>
      <c r="P86" s="337"/>
      <c r="Q86" s="349"/>
      <c r="R86" s="341"/>
      <c r="S86" s="337"/>
      <c r="T86" s="337"/>
      <c r="U86" s="360"/>
      <c r="V86" s="350"/>
      <c r="W86" s="353"/>
      <c r="X86" s="337"/>
      <c r="Y86" s="343">
        <f>ROUND(E86+G86+I86+J86+K86+L86+N86+O86+P86+R86+S86+T86+V86+W86+X86,2)</f>
        <v>0</v>
      </c>
      <c r="Z86" s="344">
        <f>Y86*B86</f>
        <v>0</v>
      </c>
      <c r="AA86" s="7"/>
      <c r="AB86" s="7"/>
      <c r="AC86" s="223">
        <f>Y86+Y183</f>
        <v>0</v>
      </c>
      <c r="AD86" s="7">
        <f>A86</f>
        <v>0</v>
      </c>
      <c r="AE86" s="7"/>
      <c r="AF86" s="7"/>
      <c r="AG86" s="7"/>
    </row>
    <row r="87" spans="1:33" ht="17.100000000000001" customHeight="1" thickTop="1">
      <c r="A87" s="133"/>
      <c r="B87" s="122"/>
      <c r="C87" s="77" t="s">
        <v>72</v>
      </c>
      <c r="D87" s="78"/>
      <c r="E87" s="268"/>
      <c r="F87" s="108"/>
      <c r="G87" s="129"/>
      <c r="H87" s="112"/>
      <c r="I87" s="106"/>
      <c r="J87" s="669"/>
      <c r="K87" s="268"/>
      <c r="L87" s="106"/>
      <c r="M87" s="270"/>
      <c r="N87" s="184"/>
      <c r="O87" s="106"/>
      <c r="P87" s="106"/>
      <c r="Q87" s="177"/>
      <c r="R87" s="106"/>
      <c r="S87" s="106"/>
      <c r="T87" s="106"/>
      <c r="U87" s="278"/>
      <c r="V87" s="268"/>
      <c r="W87" s="272"/>
      <c r="X87" s="106"/>
      <c r="Y87" s="291"/>
      <c r="Z87" s="123"/>
      <c r="AA87" s="7"/>
      <c r="AB87" s="7"/>
      <c r="AC87" s="224"/>
      <c r="AD87" s="7"/>
      <c r="AE87" s="7"/>
      <c r="AF87" s="7"/>
      <c r="AG87" s="7"/>
    </row>
    <row r="88" spans="1:33" ht="17.100000000000001" customHeight="1" thickBot="1">
      <c r="A88" s="346"/>
      <c r="B88" s="347"/>
      <c r="C88" s="348" t="s">
        <v>73</v>
      </c>
      <c r="D88" s="385"/>
      <c r="E88" s="353"/>
      <c r="F88" s="349"/>
      <c r="G88" s="341"/>
      <c r="H88" s="338"/>
      <c r="I88" s="337"/>
      <c r="J88" s="668"/>
      <c r="K88" s="353"/>
      <c r="L88" s="337"/>
      <c r="M88" s="352"/>
      <c r="N88" s="354"/>
      <c r="O88" s="337"/>
      <c r="P88" s="337"/>
      <c r="Q88" s="349"/>
      <c r="R88" s="337"/>
      <c r="S88" s="337"/>
      <c r="T88" s="337"/>
      <c r="U88" s="360"/>
      <c r="V88" s="353"/>
      <c r="W88" s="350"/>
      <c r="X88" s="337"/>
      <c r="Y88" s="343">
        <f>ROUND(E88+G88+I88+J88+K88+L88+N88+O88+P88+R88+S88+T88+V88+W88+X88,2)</f>
        <v>0</v>
      </c>
      <c r="Z88" s="344">
        <f>Y88*B88</f>
        <v>0</v>
      </c>
      <c r="AA88" s="7"/>
      <c r="AB88" s="7"/>
      <c r="AC88" s="223">
        <f>Y88+Y185</f>
        <v>0</v>
      </c>
      <c r="AD88" s="7">
        <f>A88</f>
        <v>0</v>
      </c>
      <c r="AE88" s="7"/>
      <c r="AF88" s="7"/>
      <c r="AG88" s="7"/>
    </row>
    <row r="89" spans="1:33" ht="17.100000000000001" customHeight="1" thickTop="1">
      <c r="A89" s="133"/>
      <c r="B89" s="122"/>
      <c r="C89" s="77" t="s">
        <v>72</v>
      </c>
      <c r="D89" s="287"/>
      <c r="E89" s="268"/>
      <c r="F89" s="112"/>
      <c r="G89" s="106"/>
      <c r="H89" s="112"/>
      <c r="I89" s="106"/>
      <c r="J89" s="128"/>
      <c r="K89" s="106"/>
      <c r="L89" s="106"/>
      <c r="M89" s="274"/>
      <c r="N89" s="268"/>
      <c r="O89" s="106"/>
      <c r="P89" s="106"/>
      <c r="Q89" s="112"/>
      <c r="R89" s="106"/>
      <c r="S89" s="106"/>
      <c r="T89" s="106"/>
      <c r="U89" s="270"/>
      <c r="V89" s="268"/>
      <c r="W89" s="268"/>
      <c r="X89" s="106"/>
      <c r="Y89" s="291"/>
      <c r="Z89" s="123"/>
      <c r="AA89" s="7"/>
      <c r="AB89" s="7"/>
      <c r="AC89" s="414"/>
      <c r="AD89" s="7"/>
      <c r="AE89" s="7"/>
      <c r="AF89" s="7"/>
      <c r="AG89" s="7"/>
    </row>
    <row r="90" spans="1:33" ht="17.100000000000001" customHeight="1" thickBot="1">
      <c r="A90" s="346"/>
      <c r="B90" s="347"/>
      <c r="C90" s="348" t="s">
        <v>73</v>
      </c>
      <c r="D90" s="385"/>
      <c r="E90" s="353"/>
      <c r="F90" s="338"/>
      <c r="G90" s="337"/>
      <c r="H90" s="338"/>
      <c r="I90" s="337"/>
      <c r="J90" s="372"/>
      <c r="K90" s="353"/>
      <c r="L90" s="337"/>
      <c r="M90" s="361"/>
      <c r="N90" s="353"/>
      <c r="O90" s="337"/>
      <c r="P90" s="337"/>
      <c r="Q90" s="338"/>
      <c r="R90" s="337"/>
      <c r="S90" s="337"/>
      <c r="T90" s="337"/>
      <c r="U90" s="352"/>
      <c r="V90" s="353"/>
      <c r="W90" s="353"/>
      <c r="X90" s="337"/>
      <c r="Y90" s="343">
        <f>ROUND(E90+G90+I90+J90+K90+L90+N90+O90+P90+R90+S90+T90+V90+W90+X90,2)</f>
        <v>0</v>
      </c>
      <c r="Z90" s="344">
        <f>Y90*B90</f>
        <v>0</v>
      </c>
      <c r="AA90" s="7"/>
      <c r="AB90" s="7"/>
      <c r="AC90" s="223">
        <f>Y90+Y187</f>
        <v>0</v>
      </c>
      <c r="AD90" s="7">
        <f>A90</f>
        <v>0</v>
      </c>
      <c r="AE90" s="7"/>
      <c r="AF90" s="7"/>
      <c r="AG90" s="7"/>
    </row>
    <row r="91" spans="1:33" ht="17.100000000000001" customHeight="1" thickTop="1">
      <c r="A91" s="133"/>
      <c r="B91" s="122"/>
      <c r="C91" s="77" t="s">
        <v>72</v>
      </c>
      <c r="D91" s="287"/>
      <c r="E91" s="268"/>
      <c r="F91" s="112">
        <v>1</v>
      </c>
      <c r="G91" s="114">
        <f>F91/F26*G26</f>
        <v>1</v>
      </c>
      <c r="H91" s="112"/>
      <c r="I91" s="106"/>
      <c r="J91" s="669"/>
      <c r="K91" s="268"/>
      <c r="L91" s="106">
        <v>0.3</v>
      </c>
      <c r="M91" s="112">
        <v>0.3</v>
      </c>
      <c r="N91" s="252">
        <f>M91/M26*N26</f>
        <v>0.3</v>
      </c>
      <c r="O91" s="106">
        <v>0.5</v>
      </c>
      <c r="P91" s="106">
        <v>2</v>
      </c>
      <c r="Q91" s="112">
        <v>0.4</v>
      </c>
      <c r="R91" s="252">
        <f>Q91/Q26*R26</f>
        <v>0.4</v>
      </c>
      <c r="S91" s="106"/>
      <c r="T91" s="106"/>
      <c r="U91" s="112">
        <v>0.5</v>
      </c>
      <c r="V91" s="114"/>
      <c r="W91" s="268"/>
      <c r="X91" s="106"/>
      <c r="Y91" s="291"/>
      <c r="Z91" s="123"/>
      <c r="AA91" s="7"/>
      <c r="AB91" s="7"/>
      <c r="AC91" s="224"/>
      <c r="AD91" s="7"/>
      <c r="AE91" s="7"/>
      <c r="AF91" s="7"/>
      <c r="AG91" s="7"/>
    </row>
    <row r="92" spans="1:33" ht="17.100000000000001" customHeight="1" thickBot="1">
      <c r="A92" s="346" t="s">
        <v>138</v>
      </c>
      <c r="B92" s="347">
        <v>28</v>
      </c>
      <c r="C92" s="348" t="s">
        <v>73</v>
      </c>
      <c r="D92" s="385"/>
      <c r="E92" s="353"/>
      <c r="F92" s="349">
        <f>F91*F25/1000</f>
        <v>0.1</v>
      </c>
      <c r="G92" s="339">
        <f>F92</f>
        <v>0.1</v>
      </c>
      <c r="H92" s="338"/>
      <c r="I92" s="337"/>
      <c r="J92" s="668"/>
      <c r="K92" s="353"/>
      <c r="L92" s="339">
        <f>L91*B25/1000</f>
        <v>0.03</v>
      </c>
      <c r="M92" s="349">
        <f>M91*M25/1000</f>
        <v>0.03</v>
      </c>
      <c r="N92" s="339">
        <f>M92</f>
        <v>0.03</v>
      </c>
      <c r="O92" s="339">
        <f>O91*B25/1000</f>
        <v>0.05</v>
      </c>
      <c r="P92" s="339">
        <f>P91*B25/1000</f>
        <v>0.2</v>
      </c>
      <c r="Q92" s="349">
        <f>Q91*Q25/1000</f>
        <v>0.04</v>
      </c>
      <c r="R92" s="339">
        <f>Q92</f>
        <v>0.04</v>
      </c>
      <c r="S92" s="337"/>
      <c r="T92" s="337"/>
      <c r="U92" s="376">
        <f>U91*U26/1000</f>
        <v>0.05</v>
      </c>
      <c r="V92" s="339"/>
      <c r="W92" s="353"/>
      <c r="X92" s="337"/>
      <c r="Y92" s="343">
        <f>ROUND(E92+G92+I92+J92+K92+L92+N92+O92+P92+R92+S92+T92+U92+V92+W92+X92,2)</f>
        <v>0.5</v>
      </c>
      <c r="Z92" s="312">
        <f>Y92*B92</f>
        <v>14</v>
      </c>
      <c r="AA92" s="7"/>
      <c r="AB92" s="7"/>
      <c r="AC92" s="223">
        <f>Y92+Y189</f>
        <v>0.95</v>
      </c>
      <c r="AD92" s="7" t="str">
        <f>A92</f>
        <v>Соль иодиров.</v>
      </c>
      <c r="AE92" s="7"/>
      <c r="AF92" s="7"/>
      <c r="AG92" s="7"/>
    </row>
    <row r="93" spans="1:33" ht="17.100000000000001" customHeight="1">
      <c r="A93" s="136"/>
      <c r="B93" s="6"/>
      <c r="C93" s="75"/>
      <c r="D93" s="298"/>
      <c r="E93" s="271"/>
      <c r="F93" s="112"/>
      <c r="G93" s="105"/>
      <c r="H93" s="112"/>
      <c r="I93" s="105"/>
      <c r="J93" s="669"/>
      <c r="K93" s="271"/>
      <c r="L93" s="105"/>
      <c r="M93" s="593"/>
      <c r="N93" s="271"/>
      <c r="O93" s="105"/>
      <c r="P93" s="105"/>
      <c r="Q93" s="112"/>
      <c r="R93" s="105"/>
      <c r="S93" s="105"/>
      <c r="T93" s="105"/>
      <c r="U93" s="545"/>
      <c r="V93" s="690"/>
      <c r="W93" s="271"/>
      <c r="X93" s="105"/>
      <c r="Y93" s="291"/>
      <c r="Z93" s="126">
        <f>Z28+Z30+Z32+Z34+Z36+Z38+Z40+Z42+Z44+Z46+Z48+Z50+Z60+Z62+Z64+Z66+Z68+Z70+Z72+Z74+Z76+Z78+Z80+Z82+Z84+Z86+Z88+Z90+Z92</f>
        <v>11060.9198</v>
      </c>
      <c r="AA93" s="7"/>
      <c r="AB93" s="7"/>
      <c r="AC93" s="7"/>
      <c r="AD93" s="7"/>
      <c r="AE93" s="7"/>
      <c r="AF93" s="7"/>
      <c r="AG93" s="7"/>
    </row>
    <row r="94" spans="1:33" ht="9.75" customHeight="1"/>
    <row r="95" spans="1:33">
      <c r="A95" s="43" t="s">
        <v>311</v>
      </c>
      <c r="S95" s="43" t="s">
        <v>30</v>
      </c>
      <c r="Z95" s="118">
        <f>K13</f>
        <v>11000</v>
      </c>
    </row>
    <row r="96" spans="1:33" ht="9" customHeight="1">
      <c r="A96" s="43" t="s">
        <v>50</v>
      </c>
      <c r="S96" s="43" t="s">
        <v>31</v>
      </c>
    </row>
    <row r="97" spans="1:28" ht="19.5" customHeight="1">
      <c r="A97" s="43" t="s">
        <v>318</v>
      </c>
      <c r="S97" s="43" t="s">
        <v>330</v>
      </c>
    </row>
    <row r="98" spans="1:28" ht="9" customHeight="1">
      <c r="A98" s="43" t="s">
        <v>37</v>
      </c>
      <c r="S98" s="43" t="s">
        <v>31</v>
      </c>
    </row>
    <row r="99" spans="1:28" ht="6.75" customHeight="1">
      <c r="A99" s="3" t="s">
        <v>322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7"/>
      <c r="T99" s="7"/>
      <c r="V99" s="10"/>
      <c r="W99" s="10"/>
      <c r="X99" s="10"/>
      <c r="Y99" s="10"/>
      <c r="Z99" s="11"/>
      <c r="AA99" s="11"/>
      <c r="AB99" s="11"/>
    </row>
    <row r="100" spans="1:28" ht="18">
      <c r="A100" s="9" t="s">
        <v>2</v>
      </c>
      <c r="B100" s="8"/>
      <c r="C100" s="8"/>
      <c r="D100" s="8"/>
      <c r="E100" s="8"/>
      <c r="F100" s="11"/>
      <c r="G100" s="8"/>
      <c r="H100" s="8"/>
      <c r="I100" s="8"/>
      <c r="J100" s="8"/>
      <c r="K100" s="8"/>
      <c r="L100" s="8"/>
      <c r="M100" s="8"/>
      <c r="N100" s="8"/>
      <c r="O100" s="8"/>
      <c r="P100" s="1060" t="s">
        <v>80</v>
      </c>
      <c r="Q100" s="1060"/>
      <c r="R100" s="1060"/>
      <c r="S100" s="1060"/>
      <c r="T100" s="1060"/>
      <c r="U100" s="1060"/>
      <c r="V100" s="1060"/>
      <c r="W100" s="1060"/>
      <c r="X100" s="1060"/>
      <c r="Y100" s="1060"/>
      <c r="Z100" s="1060"/>
      <c r="AA100" s="1060"/>
      <c r="AB100" s="720"/>
    </row>
    <row r="101" spans="1:28" ht="18.75">
      <c r="A101" s="757" t="str">
        <f>A4</f>
        <v>"08"   января  2024  г.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1"/>
    </row>
    <row r="102" spans="1:28" ht="2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2"/>
      <c r="N102" s="3"/>
      <c r="O102" s="3"/>
      <c r="P102" s="2"/>
      <c r="Q102" s="2"/>
      <c r="R102" s="2"/>
      <c r="S102" s="1"/>
      <c r="T102" s="1"/>
      <c r="U102" s="7"/>
      <c r="V102" s="7"/>
      <c r="W102" s="7"/>
      <c r="X102" s="7"/>
      <c r="Y102" s="7"/>
    </row>
    <row r="103" spans="1:28" ht="13.5" thickBot="1">
      <c r="A103" s="1048" t="s">
        <v>42</v>
      </c>
      <c r="B103" s="1048"/>
      <c r="C103" s="1048"/>
      <c r="D103" s="729"/>
      <c r="E103" s="1047" t="s">
        <v>35</v>
      </c>
      <c r="F103" s="1048"/>
      <c r="G103" s="1049"/>
      <c r="H103" s="1047" t="s">
        <v>60</v>
      </c>
      <c r="I103" s="1047"/>
      <c r="J103" s="1049"/>
      <c r="K103" s="1047" t="s">
        <v>58</v>
      </c>
      <c r="L103" s="1048"/>
      <c r="M103" s="1048"/>
      <c r="N103" s="31"/>
      <c r="O103" s="29"/>
      <c r="P103" s="21"/>
      <c r="Q103" s="21"/>
      <c r="R103" s="3"/>
      <c r="S103" s="7"/>
      <c r="T103" s="7"/>
      <c r="U103" s="7"/>
      <c r="V103" s="7"/>
      <c r="W103" s="7"/>
      <c r="X103" s="7"/>
      <c r="Y103" s="7"/>
      <c r="Z103" s="1088" t="s">
        <v>0</v>
      </c>
      <c r="AA103" s="1089"/>
      <c r="AB103" s="717"/>
    </row>
    <row r="104" spans="1:28" ht="9" customHeight="1">
      <c r="A104" s="1059" t="s">
        <v>43</v>
      </c>
      <c r="B104" s="1059"/>
      <c r="C104" s="1059"/>
      <c r="D104" s="726"/>
      <c r="E104" s="1065" t="s">
        <v>34</v>
      </c>
      <c r="F104" s="1066"/>
      <c r="G104" s="1067"/>
      <c r="H104" s="1065" t="s">
        <v>12</v>
      </c>
      <c r="I104" s="1065"/>
      <c r="J104" s="1067"/>
      <c r="K104" s="1065" t="s">
        <v>15</v>
      </c>
      <c r="L104" s="1066"/>
      <c r="M104" s="1108"/>
      <c r="N104" s="1065" t="s">
        <v>14</v>
      </c>
      <c r="O104" s="1066"/>
      <c r="P104" s="1067"/>
      <c r="Q104" s="727" t="s">
        <v>196</v>
      </c>
      <c r="R104" s="1106" t="str">
        <f>R7</f>
        <v>на  "09" января  2024 г</v>
      </c>
      <c r="S104" s="1138"/>
      <c r="T104" s="1138"/>
      <c r="U104" s="1138"/>
      <c r="V104" s="1138"/>
      <c r="W104" s="1138"/>
      <c r="X104" s="1050" t="s">
        <v>190</v>
      </c>
      <c r="Y104" s="1156"/>
      <c r="Z104" s="1090" t="s">
        <v>23</v>
      </c>
      <c r="AA104" s="1091"/>
      <c r="AB104" s="682"/>
    </row>
    <row r="105" spans="1:28" ht="13.5" customHeight="1" thickBot="1">
      <c r="A105" s="730" t="s">
        <v>44</v>
      </c>
      <c r="B105" s="1047" t="s">
        <v>46</v>
      </c>
      <c r="C105" s="1048"/>
      <c r="D105" s="726"/>
      <c r="E105" s="1065" t="s">
        <v>39</v>
      </c>
      <c r="F105" s="1066"/>
      <c r="G105" s="1067"/>
      <c r="H105" s="1065" t="s">
        <v>49</v>
      </c>
      <c r="I105" s="1065"/>
      <c r="J105" s="1067"/>
      <c r="K105" s="1065" t="s">
        <v>59</v>
      </c>
      <c r="L105" s="1066"/>
      <c r="M105" s="1066"/>
      <c r="N105" s="1065" t="s">
        <v>40</v>
      </c>
      <c r="O105" s="1066"/>
      <c r="P105" s="1067"/>
      <c r="Q105" s="727" t="s">
        <v>197</v>
      </c>
      <c r="R105" s="1138"/>
      <c r="S105" s="1138"/>
      <c r="T105" s="1138"/>
      <c r="U105" s="1138"/>
      <c r="V105" s="1138"/>
      <c r="W105" s="1138"/>
      <c r="Z105" s="53"/>
      <c r="AA105" s="56"/>
      <c r="AB105" s="32"/>
    </row>
    <row r="106" spans="1:28" ht="13.5" thickBot="1">
      <c r="A106" s="727" t="s">
        <v>45</v>
      </c>
      <c r="B106" s="1065" t="s">
        <v>47</v>
      </c>
      <c r="C106" s="1108"/>
      <c r="D106" s="725"/>
      <c r="E106" s="1065" t="s">
        <v>38</v>
      </c>
      <c r="F106" s="1066"/>
      <c r="G106" s="1067"/>
      <c r="H106" s="1065" t="s">
        <v>13</v>
      </c>
      <c r="I106" s="1065"/>
      <c r="J106" s="1067"/>
      <c r="K106" s="1065" t="s">
        <v>38</v>
      </c>
      <c r="L106" s="1066"/>
      <c r="M106" s="1066"/>
      <c r="N106" s="25"/>
      <c r="O106" s="3"/>
      <c r="P106" s="17"/>
      <c r="Q106" s="727" t="s">
        <v>198</v>
      </c>
      <c r="R106" s="3" t="s">
        <v>194</v>
      </c>
      <c r="S106" s="548"/>
      <c r="T106" s="548"/>
      <c r="U106" s="120"/>
      <c r="V106" s="120"/>
      <c r="W106" s="120"/>
      <c r="X106" s="120"/>
      <c r="Y106" s="746" t="s">
        <v>191</v>
      </c>
      <c r="Z106" s="701"/>
      <c r="AA106" s="708"/>
      <c r="AB106" s="722"/>
    </row>
    <row r="107" spans="1:28" ht="7.5" customHeight="1">
      <c r="A107" s="17"/>
      <c r="B107" s="1058" t="s">
        <v>48</v>
      </c>
      <c r="C107" s="1059"/>
      <c r="D107" s="726"/>
      <c r="E107" s="723"/>
      <c r="F107" s="3"/>
      <c r="G107" s="30"/>
      <c r="H107" s="3"/>
      <c r="I107" s="3"/>
      <c r="J107" s="30"/>
      <c r="K107" s="1058"/>
      <c r="L107" s="1059"/>
      <c r="M107" s="1059"/>
      <c r="N107" s="25"/>
      <c r="O107" s="3"/>
      <c r="P107" s="17"/>
      <c r="Q107" s="17"/>
      <c r="S107" s="709" t="s">
        <v>96</v>
      </c>
      <c r="Y107" s="32"/>
      <c r="Z107" s="702"/>
      <c r="AA107" s="703"/>
      <c r="AB107" s="32"/>
    </row>
    <row r="108" spans="1:28" ht="13.5" customHeight="1" thickBot="1">
      <c r="A108" s="58">
        <v>1</v>
      </c>
      <c r="B108" s="62"/>
      <c r="C108" s="63">
        <v>2</v>
      </c>
      <c r="D108" s="292"/>
      <c r="E108" s="731"/>
      <c r="F108" s="731">
        <v>3</v>
      </c>
      <c r="G108" s="733"/>
      <c r="H108" s="731"/>
      <c r="I108" s="731">
        <v>4</v>
      </c>
      <c r="J108" s="733"/>
      <c r="K108" s="731"/>
      <c r="L108" s="731"/>
      <c r="M108" s="731">
        <v>5</v>
      </c>
      <c r="N108" s="732"/>
      <c r="O108" s="731">
        <v>6</v>
      </c>
      <c r="P108" s="733"/>
      <c r="Q108" s="765">
        <v>7</v>
      </c>
      <c r="R108" s="1074" t="s">
        <v>307</v>
      </c>
      <c r="S108" s="1061"/>
      <c r="T108" s="1061"/>
      <c r="U108" s="1061"/>
      <c r="V108" s="1061"/>
      <c r="W108" s="1061"/>
      <c r="X108" s="1061"/>
      <c r="Y108" s="699" t="s">
        <v>199</v>
      </c>
      <c r="Z108" s="705"/>
      <c r="AA108" s="704"/>
      <c r="AB108" s="8"/>
    </row>
    <row r="109" spans="1:28">
      <c r="A109" s="37"/>
      <c r="B109" s="38"/>
      <c r="C109" s="38"/>
      <c r="D109" s="38"/>
      <c r="E109" s="38"/>
      <c r="F109" s="38"/>
      <c r="G109" s="39"/>
      <c r="H109" s="38"/>
      <c r="I109" s="38"/>
      <c r="J109" s="39"/>
      <c r="K109" s="38"/>
      <c r="L109" s="38"/>
      <c r="M109" s="38"/>
      <c r="N109" s="40"/>
      <c r="O109" s="38"/>
      <c r="P109" s="39"/>
      <c r="Q109" s="42"/>
      <c r="R109" s="1061"/>
      <c r="S109" s="1061"/>
      <c r="T109" s="1061"/>
      <c r="U109" s="1061"/>
      <c r="V109" s="1061"/>
      <c r="W109" s="1061"/>
      <c r="X109" s="1061"/>
      <c r="Y109" s="56"/>
      <c r="Z109" s="32"/>
      <c r="AA109" s="707"/>
      <c r="AB109" s="8"/>
    </row>
    <row r="110" spans="1:28" ht="16.5" thickBot="1">
      <c r="A110" s="780" t="s">
        <v>201</v>
      </c>
      <c r="B110" s="28"/>
      <c r="C110" s="28"/>
      <c r="D110" s="28"/>
      <c r="E110" s="28"/>
      <c r="F110" s="28"/>
      <c r="G110" s="218">
        <f>G13</f>
        <v>110</v>
      </c>
      <c r="H110" s="1113">
        <f>B122</f>
        <v>100</v>
      </c>
      <c r="I110" s="1114"/>
      <c r="J110" s="1069"/>
      <c r="K110" s="1075">
        <f>G110*H110</f>
        <v>11000</v>
      </c>
      <c r="L110" s="1114"/>
      <c r="M110" s="1069"/>
      <c r="N110" s="1068">
        <f>Z190/B122</f>
        <v>96.457859999999982</v>
      </c>
      <c r="O110" s="1115"/>
      <c r="P110" s="1069"/>
      <c r="Q110" s="52"/>
      <c r="R110" s="3"/>
      <c r="S110" s="710" t="str">
        <f>S13</f>
        <v>"Детский сад №31 г. Ельца"</v>
      </c>
      <c r="T110" s="2"/>
      <c r="U110" s="538"/>
      <c r="V110" s="7"/>
      <c r="W110" s="7"/>
      <c r="X110" s="7"/>
      <c r="Y110" s="699"/>
      <c r="Z110" s="7"/>
      <c r="AA110" s="704"/>
      <c r="AB110" s="7"/>
    </row>
    <row r="111" spans="1:28" ht="6" customHeight="1" thickBot="1">
      <c r="A111" s="766"/>
      <c r="B111" s="48"/>
      <c r="C111" s="45"/>
      <c r="D111" s="45"/>
      <c r="E111" s="45"/>
      <c r="F111" s="45"/>
      <c r="G111" s="49"/>
      <c r="H111" s="45"/>
      <c r="I111" s="45"/>
      <c r="J111" s="49"/>
      <c r="K111" s="28"/>
      <c r="L111" s="28"/>
      <c r="M111" s="28"/>
      <c r="N111" s="51"/>
      <c r="O111" s="28"/>
      <c r="P111" s="27"/>
      <c r="Q111" s="52"/>
      <c r="R111" s="3"/>
      <c r="S111" s="7"/>
      <c r="T111" s="7"/>
      <c r="X111" s="32"/>
      <c r="Y111" s="56"/>
      <c r="Z111" s="41"/>
      <c r="AA111" s="707"/>
      <c r="AB111" s="8"/>
    </row>
    <row r="112" spans="1:28" ht="19.5" thickBot="1">
      <c r="A112" s="769"/>
      <c r="B112" s="38"/>
      <c r="C112" s="38"/>
      <c r="D112" s="38"/>
      <c r="E112" s="38"/>
      <c r="F112" s="38"/>
      <c r="G112" s="38"/>
      <c r="H112" s="38"/>
      <c r="I112" s="3" t="s">
        <v>33</v>
      </c>
      <c r="J112" s="42"/>
      <c r="K112" s="45"/>
      <c r="L112" s="45"/>
      <c r="M112" s="45"/>
      <c r="N112" s="1116">
        <f>N110*B122</f>
        <v>9645.7859999999982</v>
      </c>
      <c r="O112" s="1117"/>
      <c r="P112" s="1118"/>
      <c r="Q112" s="47"/>
      <c r="R112" s="3" t="s">
        <v>193</v>
      </c>
      <c r="S112" s="7"/>
      <c r="T112" s="7"/>
      <c r="U112" s="549"/>
      <c r="V112" s="711" t="str">
        <f>V15</f>
        <v>Глухова Г.В.</v>
      </c>
      <c r="Y112" s="56"/>
      <c r="Z112" s="66"/>
      <c r="AA112" s="704"/>
      <c r="AB112" s="8"/>
    </row>
    <row r="113" spans="1:29" ht="6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770"/>
      <c r="L113" s="770"/>
      <c r="M113" s="770"/>
      <c r="N113" s="770"/>
      <c r="O113" s="770"/>
      <c r="P113" s="770"/>
      <c r="Q113" s="770"/>
      <c r="R113" s="3"/>
      <c r="S113" s="7"/>
      <c r="T113" s="7"/>
      <c r="Y113" s="32"/>
      <c r="Z113" s="32"/>
    </row>
    <row r="114" spans="1:29" ht="2.2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7"/>
      <c r="U114" s="7"/>
      <c r="V114" s="7"/>
      <c r="W114" s="7"/>
      <c r="X114" s="7"/>
      <c r="Y114" s="8"/>
      <c r="Z114" s="8"/>
    </row>
    <row r="115" spans="1:29">
      <c r="A115" s="26" t="s">
        <v>53</v>
      </c>
      <c r="B115" s="20"/>
      <c r="C115" s="65"/>
      <c r="D115" s="6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28" t="s">
        <v>41</v>
      </c>
      <c r="P115" s="14"/>
      <c r="Q115" s="14"/>
      <c r="R115" s="14"/>
      <c r="S115" s="28"/>
      <c r="T115" s="28"/>
      <c r="U115" s="14"/>
      <c r="V115" s="14"/>
      <c r="W115" s="14"/>
      <c r="X115" s="14"/>
      <c r="Y115" s="1047" t="s">
        <v>8</v>
      </c>
      <c r="Z115" s="1048"/>
    </row>
    <row r="116" spans="1:29">
      <c r="A116" s="168"/>
      <c r="B116" s="19"/>
      <c r="C116" s="805" t="s">
        <v>52</v>
      </c>
      <c r="D116" s="1139" t="s">
        <v>232</v>
      </c>
      <c r="E116" s="1165"/>
      <c r="F116" s="1165"/>
      <c r="G116" s="1165"/>
      <c r="H116" s="1165"/>
      <c r="I116" s="1165"/>
      <c r="J116" s="1165"/>
      <c r="K116" s="1165"/>
      <c r="L116" s="784"/>
      <c r="M116" s="594"/>
      <c r="N116" s="1052" t="s">
        <v>16</v>
      </c>
      <c r="O116" s="1052"/>
      <c r="P116" s="1052"/>
      <c r="Q116" s="1052"/>
      <c r="R116" s="1052"/>
      <c r="S116" s="1052"/>
      <c r="T116" s="1052"/>
      <c r="U116" s="1139" t="s">
        <v>17</v>
      </c>
      <c r="V116" s="1052"/>
      <c r="W116" s="1052"/>
      <c r="X116" s="1087"/>
      <c r="Y116" s="1059" t="s">
        <v>3</v>
      </c>
      <c r="Z116" s="1059"/>
    </row>
    <row r="117" spans="1:29" ht="2.25" customHeight="1">
      <c r="A117" s="167"/>
      <c r="B117" s="5"/>
      <c r="C117" s="805" t="s">
        <v>51</v>
      </c>
      <c r="D117" s="1166"/>
      <c r="E117" s="1167"/>
      <c r="F117" s="1167"/>
      <c r="G117" s="1167"/>
      <c r="H117" s="1167"/>
      <c r="I117" s="1167"/>
      <c r="J117" s="1167"/>
      <c r="K117" s="1168"/>
      <c r="L117" s="772"/>
      <c r="M117" s="595"/>
      <c r="N117" s="1054"/>
      <c r="O117" s="1054"/>
      <c r="P117" s="1054"/>
      <c r="Q117" s="1054"/>
      <c r="R117" s="1054"/>
      <c r="S117" s="1054"/>
      <c r="T117" s="1054"/>
      <c r="U117" s="1140"/>
      <c r="V117" s="1054"/>
      <c r="W117" s="1054"/>
      <c r="X117" s="1086"/>
      <c r="Y117" s="1048" t="s">
        <v>36</v>
      </c>
      <c r="Z117" s="1048"/>
    </row>
    <row r="118" spans="1:29" ht="12.75" customHeight="1">
      <c r="A118" s="167" t="s">
        <v>54</v>
      </c>
      <c r="B118" s="5"/>
      <c r="C118" s="70" t="s">
        <v>9</v>
      </c>
      <c r="D118" s="1101" t="s">
        <v>168</v>
      </c>
      <c r="E118" s="1081" t="s">
        <v>169</v>
      </c>
      <c r="F118" s="1041" t="s">
        <v>164</v>
      </c>
      <c r="G118" s="1123" t="s">
        <v>165</v>
      </c>
      <c r="H118" s="1041" t="s">
        <v>155</v>
      </c>
      <c r="I118" s="1038"/>
      <c r="J118" s="1038" t="s">
        <v>163</v>
      </c>
      <c r="K118" s="1041" t="s">
        <v>131</v>
      </c>
      <c r="L118" s="1044" t="s">
        <v>231</v>
      </c>
      <c r="M118" s="1152" t="s">
        <v>181</v>
      </c>
      <c r="N118" s="1153"/>
      <c r="O118" s="1044" t="s">
        <v>114</v>
      </c>
      <c r="P118" s="1038" t="s">
        <v>150</v>
      </c>
      <c r="Q118" s="1035" t="s">
        <v>233</v>
      </c>
      <c r="R118" s="1038"/>
      <c r="S118" s="1041" t="s">
        <v>115</v>
      </c>
      <c r="T118" s="1044" t="s">
        <v>68</v>
      </c>
      <c r="U118" s="1041" t="s">
        <v>133</v>
      </c>
      <c r="V118" s="1096"/>
      <c r="W118" s="1038" t="s">
        <v>83</v>
      </c>
      <c r="X118" s="1038" t="s">
        <v>70</v>
      </c>
      <c r="Y118" s="24"/>
      <c r="Z118" s="23"/>
    </row>
    <row r="119" spans="1:29" ht="12.75" customHeight="1">
      <c r="A119" s="167"/>
      <c r="B119" s="5"/>
      <c r="C119" s="70" t="s">
        <v>10</v>
      </c>
      <c r="D119" s="1102"/>
      <c r="E119" s="1082"/>
      <c r="F119" s="1042"/>
      <c r="G119" s="1124"/>
      <c r="H119" s="1042"/>
      <c r="I119" s="1039"/>
      <c r="J119" s="1039"/>
      <c r="K119" s="1042"/>
      <c r="L119" s="1045"/>
      <c r="M119" s="1154"/>
      <c r="N119" s="1146"/>
      <c r="O119" s="1045"/>
      <c r="P119" s="1039"/>
      <c r="Q119" s="1036"/>
      <c r="R119" s="1039"/>
      <c r="S119" s="1042"/>
      <c r="T119" s="1045"/>
      <c r="U119" s="1042"/>
      <c r="V119" s="1098"/>
      <c r="W119" s="1039"/>
      <c r="X119" s="1039"/>
      <c r="Y119" s="19" t="s">
        <v>6</v>
      </c>
      <c r="Z119" s="166" t="s">
        <v>4</v>
      </c>
    </row>
    <row r="120" spans="1:29" ht="91.5" customHeight="1">
      <c r="A120" s="169"/>
      <c r="B120" s="4"/>
      <c r="C120" s="71"/>
      <c r="D120" s="1103"/>
      <c r="E120" s="1083"/>
      <c r="F120" s="1043"/>
      <c r="G120" s="1125"/>
      <c r="H120" s="1043"/>
      <c r="I120" s="1040"/>
      <c r="J120" s="1040"/>
      <c r="K120" s="1043"/>
      <c r="L120" s="1046"/>
      <c r="M120" s="1155"/>
      <c r="N120" s="1131"/>
      <c r="O120" s="1046"/>
      <c r="P120" s="1040"/>
      <c r="Q120" s="1037"/>
      <c r="R120" s="1040"/>
      <c r="S120" s="1043"/>
      <c r="T120" s="1046"/>
      <c r="U120" s="1043"/>
      <c r="V120" s="1100"/>
      <c r="W120" s="1040"/>
      <c r="X120" s="1040"/>
      <c r="Y120" s="4" t="s">
        <v>7</v>
      </c>
      <c r="Z120" s="165" t="s">
        <v>5</v>
      </c>
    </row>
    <row r="121" spans="1:29" ht="9.75" customHeight="1">
      <c r="A121" s="64">
        <v>1</v>
      </c>
      <c r="B121" s="810">
        <v>2</v>
      </c>
      <c r="C121" s="72">
        <v>3</v>
      </c>
      <c r="D121" s="810">
        <v>4</v>
      </c>
      <c r="E121" s="80">
        <v>5</v>
      </c>
      <c r="F121" s="86">
        <v>6</v>
      </c>
      <c r="G121" s="76">
        <v>7</v>
      </c>
      <c r="H121" s="87">
        <v>8</v>
      </c>
      <c r="I121" s="80">
        <v>9</v>
      </c>
      <c r="J121" s="81">
        <v>10</v>
      </c>
      <c r="K121" s="96">
        <v>11</v>
      </c>
      <c r="L121" s="96">
        <v>12</v>
      </c>
      <c r="M121" s="262">
        <v>13</v>
      </c>
      <c r="N121" s="80">
        <v>14</v>
      </c>
      <c r="O121" s="81">
        <v>15</v>
      </c>
      <c r="P121" s="80">
        <v>16</v>
      </c>
      <c r="Q121" s="97">
        <v>17</v>
      </c>
      <c r="R121" s="93">
        <v>18</v>
      </c>
      <c r="S121" s="96">
        <v>19</v>
      </c>
      <c r="T121" s="98">
        <v>20</v>
      </c>
      <c r="U121" s="691">
        <v>21</v>
      </c>
      <c r="V121" s="93">
        <v>22</v>
      </c>
      <c r="W121" s="80">
        <v>23</v>
      </c>
      <c r="X121" s="96">
        <v>24</v>
      </c>
      <c r="Y121" s="86">
        <v>25</v>
      </c>
      <c r="Z121" s="809">
        <v>26</v>
      </c>
    </row>
    <row r="122" spans="1:29" ht="15.75">
      <c r="A122" s="16" t="s">
        <v>18</v>
      </c>
      <c r="B122" s="221">
        <v>100</v>
      </c>
      <c r="C122" s="73"/>
      <c r="D122" s="89">
        <f>F122</f>
        <v>100</v>
      </c>
      <c r="E122" s="99">
        <f>B122</f>
        <v>100</v>
      </c>
      <c r="F122" s="222">
        <v>100</v>
      </c>
      <c r="G122" s="99">
        <f>B122</f>
        <v>100</v>
      </c>
      <c r="H122" s="89">
        <f>F122</f>
        <v>100</v>
      </c>
      <c r="I122" s="99">
        <f>B122</f>
        <v>100</v>
      </c>
      <c r="J122" s="471">
        <f>B122</f>
        <v>100</v>
      </c>
      <c r="K122" s="99">
        <f>B122</f>
        <v>100</v>
      </c>
      <c r="L122" s="99">
        <f>B122</f>
        <v>100</v>
      </c>
      <c r="M122" s="980">
        <f>F122</f>
        <v>100</v>
      </c>
      <c r="N122" s="99">
        <f>B122</f>
        <v>100</v>
      </c>
      <c r="O122" s="160">
        <f>B122</f>
        <v>100</v>
      </c>
      <c r="P122" s="99">
        <f>B122</f>
        <v>100</v>
      </c>
      <c r="Q122" s="109">
        <f>F122</f>
        <v>100</v>
      </c>
      <c r="R122" s="99">
        <f>B122</f>
        <v>100</v>
      </c>
      <c r="S122" s="99">
        <f>B122</f>
        <v>100</v>
      </c>
      <c r="T122" s="99">
        <f>B122</f>
        <v>100</v>
      </c>
      <c r="U122" s="436">
        <f>F122</f>
        <v>100</v>
      </c>
      <c r="V122" s="99">
        <f>B122</f>
        <v>100</v>
      </c>
      <c r="W122" s="99">
        <f>B122</f>
        <v>100</v>
      </c>
      <c r="X122" s="99">
        <f>B122</f>
        <v>100</v>
      </c>
      <c r="Y122" s="12" t="s">
        <v>66</v>
      </c>
      <c r="Z122" s="68" t="s">
        <v>64</v>
      </c>
    </row>
    <row r="123" spans="1:29" ht="16.5" thickBot="1">
      <c r="A123" s="59" t="s">
        <v>19</v>
      </c>
      <c r="B123" s="60"/>
      <c r="C123" s="74"/>
      <c r="D123" s="304">
        <v>25</v>
      </c>
      <c r="E123" s="301">
        <f>D123*F122/B122</f>
        <v>25</v>
      </c>
      <c r="F123" s="91">
        <v>150</v>
      </c>
      <c r="G123" s="119">
        <f>F123*F122/B122</f>
        <v>150</v>
      </c>
      <c r="H123" s="91">
        <v>150</v>
      </c>
      <c r="I123" s="119">
        <f>H123*H122/B122</f>
        <v>150</v>
      </c>
      <c r="J123" s="643">
        <f>J165/B122*1000</f>
        <v>10</v>
      </c>
      <c r="K123" s="119">
        <f>K147/B122*1000</f>
        <v>100</v>
      </c>
      <c r="L123" s="119">
        <v>30</v>
      </c>
      <c r="M123" s="981">
        <v>20</v>
      </c>
      <c r="N123" s="119">
        <f>M123*M122/B122</f>
        <v>20</v>
      </c>
      <c r="O123" s="100">
        <v>160</v>
      </c>
      <c r="P123" s="119">
        <v>100</v>
      </c>
      <c r="Q123" s="110">
        <v>60</v>
      </c>
      <c r="R123" s="119">
        <f>Q123*F122/B122</f>
        <v>60</v>
      </c>
      <c r="S123" s="100">
        <v>150</v>
      </c>
      <c r="T123" s="119">
        <f>T167/B122*1000</f>
        <v>30</v>
      </c>
      <c r="U123" s="91">
        <v>80</v>
      </c>
      <c r="V123" s="119">
        <f>U123*U122/B122</f>
        <v>80</v>
      </c>
      <c r="W123" s="100">
        <v>150</v>
      </c>
      <c r="X123" s="119">
        <f>X169/B122*1000</f>
        <v>10</v>
      </c>
      <c r="Y123" s="61"/>
      <c r="Z123" s="69"/>
    </row>
    <row r="124" spans="1:29" ht="15" customHeight="1" thickTop="1">
      <c r="A124" s="133"/>
      <c r="B124" s="5" t="s">
        <v>65</v>
      </c>
      <c r="C124" s="77" t="s">
        <v>72</v>
      </c>
      <c r="D124" s="296"/>
      <c r="E124" s="88"/>
      <c r="F124" s="92"/>
      <c r="G124" s="88"/>
      <c r="H124" s="107"/>
      <c r="I124" s="88"/>
      <c r="J124" s="608"/>
      <c r="K124" s="88"/>
      <c r="L124" s="88"/>
      <c r="M124" s="542"/>
      <c r="N124" s="88"/>
      <c r="O124" s="88"/>
      <c r="P124" s="88"/>
      <c r="Q124" s="177">
        <f>53/60*Q123</f>
        <v>53</v>
      </c>
      <c r="R124" s="129">
        <f>Q124/Q123*R123</f>
        <v>53</v>
      </c>
      <c r="S124" s="88"/>
      <c r="T124" s="88"/>
      <c r="U124" s="92"/>
      <c r="V124" s="88"/>
      <c r="W124" s="88"/>
      <c r="X124" s="88"/>
      <c r="Y124" s="287"/>
      <c r="Z124" s="79"/>
      <c r="AC124" s="32"/>
    </row>
    <row r="125" spans="1:29" ht="18.75" customHeight="1" thickBot="1">
      <c r="A125" s="134" t="str">
        <f>A28</f>
        <v>Минтай с/м  потр.</v>
      </c>
      <c r="B125" s="347">
        <f>B28</f>
        <v>137.69999999999999</v>
      </c>
      <c r="C125" s="348" t="s">
        <v>73</v>
      </c>
      <c r="D125" s="382"/>
      <c r="E125" s="350"/>
      <c r="F125" s="530"/>
      <c r="G125" s="386"/>
      <c r="H125" s="531"/>
      <c r="I125" s="386"/>
      <c r="J125" s="666"/>
      <c r="K125" s="386"/>
      <c r="L125" s="386"/>
      <c r="M125" s="832"/>
      <c r="N125" s="386"/>
      <c r="O125" s="386"/>
      <c r="P125" s="386"/>
      <c r="Q125" s="349">
        <f>Q124*Q122/1000</f>
        <v>5.3</v>
      </c>
      <c r="R125" s="341">
        <f>Q125</f>
        <v>5.3</v>
      </c>
      <c r="S125" s="350"/>
      <c r="T125" s="350"/>
      <c r="U125" s="530"/>
      <c r="V125" s="386"/>
      <c r="W125" s="350"/>
      <c r="X125" s="350"/>
      <c r="Y125" s="343">
        <f>ROUND(E125+G125+I125+J125+K125+L125+N125+O125+P125+R125+S125+T125+V125+W125+X125,2)</f>
        <v>5.3</v>
      </c>
      <c r="Z125" s="368">
        <f>Y125*B125</f>
        <v>729.81</v>
      </c>
      <c r="AC125" s="32"/>
    </row>
    <row r="126" spans="1:29" ht="15.75" customHeight="1" thickTop="1">
      <c r="A126" s="133"/>
      <c r="B126" s="121"/>
      <c r="C126" s="77" t="s">
        <v>72</v>
      </c>
      <c r="D126" s="306">
        <v>5</v>
      </c>
      <c r="E126" s="129">
        <f>D126/D123*E123</f>
        <v>5</v>
      </c>
      <c r="F126" s="430">
        <v>3</v>
      </c>
      <c r="G126" s="129">
        <f>F126/F123*G123</f>
        <v>3</v>
      </c>
      <c r="H126" s="108"/>
      <c r="I126" s="88"/>
      <c r="J126" s="608"/>
      <c r="K126" s="88"/>
      <c r="L126" s="88"/>
      <c r="M126" s="263"/>
      <c r="N126" s="88"/>
      <c r="O126" s="131"/>
      <c r="P126" s="131">
        <v>4.5</v>
      </c>
      <c r="Q126" s="177"/>
      <c r="R126" s="129"/>
      <c r="S126" s="88"/>
      <c r="T126" s="88"/>
      <c r="U126" s="430">
        <f>4/80*U123</f>
        <v>4</v>
      </c>
      <c r="V126" s="129">
        <f>U126/U123*V123</f>
        <v>4</v>
      </c>
      <c r="W126" s="88"/>
      <c r="X126" s="88"/>
      <c r="Y126" s="288"/>
      <c r="Z126" s="123"/>
    </row>
    <row r="127" spans="1:29" ht="20.25" customHeight="1" thickBot="1">
      <c r="A127" s="346" t="str">
        <f>A30</f>
        <v>Масло слив.</v>
      </c>
      <c r="B127" s="347">
        <f>B30</f>
        <v>595</v>
      </c>
      <c r="C127" s="348" t="s">
        <v>73</v>
      </c>
      <c r="D127" s="490">
        <f>D126*F122/1000</f>
        <v>0.5</v>
      </c>
      <c r="E127" s="341">
        <f>D127</f>
        <v>0.5</v>
      </c>
      <c r="F127" s="363">
        <f>ROUND(F126*F122/1000,2)</f>
        <v>0.3</v>
      </c>
      <c r="G127" s="341">
        <f>F127</f>
        <v>0.3</v>
      </c>
      <c r="H127" s="349"/>
      <c r="I127" s="350"/>
      <c r="J127" s="569"/>
      <c r="K127" s="350"/>
      <c r="L127" s="350"/>
      <c r="M127" s="360"/>
      <c r="N127" s="341"/>
      <c r="O127" s="350">
        <f>ROUND(O126*B122/1000,2)</f>
        <v>0</v>
      </c>
      <c r="P127" s="341">
        <f>ROUND(P126*B122/1000,2)</f>
        <v>0.45</v>
      </c>
      <c r="Q127" s="349"/>
      <c r="R127" s="421"/>
      <c r="S127" s="350"/>
      <c r="T127" s="350"/>
      <c r="U127" s="363">
        <f>ROUND(U126*U122/1000,2)</f>
        <v>0.4</v>
      </c>
      <c r="V127" s="341">
        <f>U127</f>
        <v>0.4</v>
      </c>
      <c r="W127" s="350"/>
      <c r="X127" s="350"/>
      <c r="Y127" s="343">
        <f>ROUND(E127+G127+I127+J127+K127+L127+N127+O127+P127+R127+S127+T127+V127+W127+X127,2)</f>
        <v>1.65</v>
      </c>
      <c r="Z127" s="344">
        <f>Y127*B127</f>
        <v>981.75</v>
      </c>
    </row>
    <row r="128" spans="1:29" ht="15.75" customHeight="1" thickTop="1">
      <c r="A128" s="133"/>
      <c r="B128" s="121"/>
      <c r="C128" s="77" t="s">
        <v>72</v>
      </c>
      <c r="D128" s="296"/>
      <c r="E128" s="88"/>
      <c r="F128" s="430"/>
      <c r="G128" s="88"/>
      <c r="H128" s="108"/>
      <c r="I128" s="88"/>
      <c r="J128" s="608"/>
      <c r="K128" s="282"/>
      <c r="L128" s="131">
        <v>1.8</v>
      </c>
      <c r="M128" s="264"/>
      <c r="N128" s="88"/>
      <c r="O128" s="131">
        <v>1.6</v>
      </c>
      <c r="P128" s="88"/>
      <c r="Q128" s="177">
        <f>3/60*Q123</f>
        <v>3</v>
      </c>
      <c r="R128" s="129">
        <f>Q128/Q123*R123</f>
        <v>3</v>
      </c>
      <c r="S128" s="88"/>
      <c r="T128" s="88"/>
      <c r="U128" s="430"/>
      <c r="V128" s="88"/>
      <c r="W128" s="88"/>
      <c r="X128" s="88"/>
      <c r="Y128" s="288"/>
      <c r="Z128" s="123"/>
    </row>
    <row r="129" spans="1:26" ht="15.75" customHeight="1" thickBot="1">
      <c r="A129" s="346" t="str">
        <f>A32</f>
        <v>Масло раст.</v>
      </c>
      <c r="B129" s="347">
        <f>B32</f>
        <v>104.42</v>
      </c>
      <c r="C129" s="348" t="s">
        <v>73</v>
      </c>
      <c r="D129" s="382"/>
      <c r="E129" s="350"/>
      <c r="F129" s="363"/>
      <c r="G129" s="350"/>
      <c r="H129" s="349"/>
      <c r="I129" s="350"/>
      <c r="J129" s="569"/>
      <c r="K129" s="350"/>
      <c r="L129" s="341">
        <f>L128*B122/1000</f>
        <v>0.18</v>
      </c>
      <c r="M129" s="361"/>
      <c r="N129" s="350"/>
      <c r="O129" s="341">
        <f>O128*B122/1000</f>
        <v>0.16</v>
      </c>
      <c r="P129" s="350"/>
      <c r="Q129" s="349">
        <f>Q128*F122/1000</f>
        <v>0.3</v>
      </c>
      <c r="R129" s="341">
        <f>ROUND(Q129,2)</f>
        <v>0.3</v>
      </c>
      <c r="S129" s="350"/>
      <c r="T129" s="350"/>
      <c r="U129" s="363"/>
      <c r="V129" s="350"/>
      <c r="W129" s="350"/>
      <c r="X129" s="350"/>
      <c r="Y129" s="343">
        <f>ROUND(E129+G129+I129+J129+K129+L129+N129+O129+P129+R129+S129+T129+V129+W129+X129,2)</f>
        <v>0.64</v>
      </c>
      <c r="Z129" s="344">
        <f>Y129*B129</f>
        <v>66.828800000000001</v>
      </c>
    </row>
    <row r="130" spans="1:26" ht="15.75" customHeight="1" thickTop="1">
      <c r="A130" s="133"/>
      <c r="B130" s="121"/>
      <c r="C130" s="77" t="s">
        <v>72</v>
      </c>
      <c r="D130" s="296"/>
      <c r="E130" s="88"/>
      <c r="F130" s="430">
        <v>135</v>
      </c>
      <c r="G130" s="129">
        <f>F130/F123*G123</f>
        <v>135</v>
      </c>
      <c r="H130" s="108">
        <v>92</v>
      </c>
      <c r="I130" s="129">
        <f>H130/H123*I123</f>
        <v>92</v>
      </c>
      <c r="J130" s="608"/>
      <c r="K130" s="88"/>
      <c r="L130" s="88"/>
      <c r="M130" s="263"/>
      <c r="N130" s="131"/>
      <c r="O130" s="88"/>
      <c r="P130" s="131"/>
      <c r="Q130" s="177"/>
      <c r="R130" s="129"/>
      <c r="S130" s="88"/>
      <c r="T130" s="88"/>
      <c r="U130" s="430">
        <f>21/80*U123</f>
        <v>21</v>
      </c>
      <c r="V130" s="129">
        <f>U130/U123*V123</f>
        <v>21</v>
      </c>
      <c r="W130" s="847">
        <v>92</v>
      </c>
      <c r="X130" s="88"/>
      <c r="Y130" s="288"/>
      <c r="Z130" s="123"/>
    </row>
    <row r="131" spans="1:26" ht="18" customHeight="1" thickBot="1">
      <c r="A131" s="346" t="str">
        <f>A34</f>
        <v>Молоко св.</v>
      </c>
      <c r="B131" s="347">
        <f>B34</f>
        <v>67.8</v>
      </c>
      <c r="C131" s="348" t="s">
        <v>73</v>
      </c>
      <c r="D131" s="382"/>
      <c r="E131" s="350"/>
      <c r="F131" s="363">
        <f>F130*F122/1000</f>
        <v>13.5</v>
      </c>
      <c r="G131" s="786">
        <f>F131</f>
        <v>13.5</v>
      </c>
      <c r="H131" s="349">
        <f>H130*H122/1000</f>
        <v>9.1999999999999993</v>
      </c>
      <c r="I131" s="786">
        <f>H131</f>
        <v>9.1999999999999993</v>
      </c>
      <c r="J131" s="569"/>
      <c r="K131" s="350"/>
      <c r="L131" s="350"/>
      <c r="M131" s="360"/>
      <c r="N131" s="350"/>
      <c r="O131" s="350"/>
      <c r="P131" s="341">
        <f>P130*B122/1000</f>
        <v>0</v>
      </c>
      <c r="Q131" s="349"/>
      <c r="R131" s="350"/>
      <c r="S131" s="350"/>
      <c r="T131" s="350"/>
      <c r="U131" s="363">
        <f>U130*U122/1000</f>
        <v>2.1</v>
      </c>
      <c r="V131" s="786">
        <f>U131</f>
        <v>2.1</v>
      </c>
      <c r="W131" s="786">
        <f>W130*B122/1000</f>
        <v>9.1999999999999993</v>
      </c>
      <c r="X131" s="350"/>
      <c r="Y131" s="356">
        <f>ROUND(E131+G131+I131+J131+K131+L131+N131+O131+P131+R131+S131+T131+V131+W131+X131,3)</f>
        <v>34</v>
      </c>
      <c r="Z131" s="344">
        <f>Y131*B131</f>
        <v>2305.1999999999998</v>
      </c>
    </row>
    <row r="132" spans="1:26" ht="15.75" customHeight="1" thickTop="1">
      <c r="A132" s="133"/>
      <c r="B132" s="121"/>
      <c r="C132" s="77" t="s">
        <v>72</v>
      </c>
      <c r="D132" s="108"/>
      <c r="E132" s="129"/>
      <c r="F132" s="430"/>
      <c r="G132" s="88"/>
      <c r="H132" s="108"/>
      <c r="I132" s="88"/>
      <c r="J132" s="608"/>
      <c r="K132" s="88"/>
      <c r="L132" s="88"/>
      <c r="M132" s="263"/>
      <c r="N132" s="131"/>
      <c r="O132" s="88"/>
      <c r="P132" s="129">
        <v>35.700000000000003</v>
      </c>
      <c r="Q132" s="177"/>
      <c r="R132" s="129"/>
      <c r="S132" s="88"/>
      <c r="T132" s="88"/>
      <c r="U132" s="430"/>
      <c r="V132" s="88"/>
      <c r="W132" s="88"/>
      <c r="X132" s="88"/>
      <c r="Y132" s="288"/>
      <c r="Z132" s="123"/>
    </row>
    <row r="133" spans="1:26" ht="17.25" customHeight="1" thickBot="1">
      <c r="A133" s="346" t="str">
        <f>A36</f>
        <v>Рис</v>
      </c>
      <c r="B133" s="347">
        <f>B36</f>
        <v>81.92</v>
      </c>
      <c r="C133" s="348" t="s">
        <v>73</v>
      </c>
      <c r="D133" s="349"/>
      <c r="E133" s="350"/>
      <c r="F133" s="363"/>
      <c r="G133" s="350"/>
      <c r="H133" s="349"/>
      <c r="I133" s="350"/>
      <c r="J133" s="569"/>
      <c r="K133" s="350"/>
      <c r="L133" s="350"/>
      <c r="M133" s="360"/>
      <c r="N133" s="341"/>
      <c r="O133" s="350"/>
      <c r="P133" s="341">
        <f>P132*B122/1000</f>
        <v>3.5700000000000003</v>
      </c>
      <c r="Q133" s="349"/>
      <c r="R133" s="341"/>
      <c r="S133" s="350"/>
      <c r="T133" s="350"/>
      <c r="U133" s="363"/>
      <c r="V133" s="350"/>
      <c r="W133" s="350"/>
      <c r="X133" s="350"/>
      <c r="Y133" s="343">
        <f>ROUND(E133+G133+I133+J133+K133+L133+N133+O133+P133+R133+S133+T133+V133+W133+X133,2)</f>
        <v>3.57</v>
      </c>
      <c r="Z133" s="344">
        <f>Y133*B133</f>
        <v>292.45440000000002</v>
      </c>
    </row>
    <row r="134" spans="1:26" ht="15.75" customHeight="1" thickTop="1">
      <c r="A134" s="133"/>
      <c r="B134" s="121"/>
      <c r="C134" s="77" t="s">
        <v>72</v>
      </c>
      <c r="D134" s="296"/>
      <c r="E134" s="88"/>
      <c r="F134" s="430"/>
      <c r="G134" s="129"/>
      <c r="H134" s="108"/>
      <c r="I134" s="88"/>
      <c r="J134" s="608"/>
      <c r="K134" s="88"/>
      <c r="L134" s="88"/>
      <c r="M134" s="263"/>
      <c r="N134" s="88"/>
      <c r="O134" s="88"/>
      <c r="P134" s="88"/>
      <c r="Q134" s="177"/>
      <c r="R134" s="129"/>
      <c r="S134" s="88"/>
      <c r="T134" s="88"/>
      <c r="U134" s="430">
        <f>11/80*U123</f>
        <v>11</v>
      </c>
      <c r="V134" s="129">
        <f>U134/U123*V123</f>
        <v>11</v>
      </c>
      <c r="W134" s="88"/>
      <c r="X134" s="88"/>
      <c r="Y134" s="288"/>
      <c r="Z134" s="123"/>
    </row>
    <row r="135" spans="1:26" ht="15.75" customHeight="1" thickBot="1">
      <c r="A135" s="346" t="str">
        <f>A38</f>
        <v>Сыр</v>
      </c>
      <c r="B135" s="347">
        <f>B38</f>
        <v>540</v>
      </c>
      <c r="C135" s="348" t="s">
        <v>73</v>
      </c>
      <c r="D135" s="382"/>
      <c r="E135" s="350"/>
      <c r="F135" s="363"/>
      <c r="G135" s="350"/>
      <c r="H135" s="349"/>
      <c r="I135" s="350"/>
      <c r="J135" s="569"/>
      <c r="K135" s="350"/>
      <c r="L135" s="350"/>
      <c r="M135" s="360"/>
      <c r="N135" s="350"/>
      <c r="O135" s="350"/>
      <c r="P135" s="350"/>
      <c r="Q135" s="349"/>
      <c r="R135" s="341"/>
      <c r="S135" s="350"/>
      <c r="T135" s="350"/>
      <c r="U135" s="363">
        <f>U134*U122/1000</f>
        <v>1.1000000000000001</v>
      </c>
      <c r="V135" s="341">
        <f>U135</f>
        <v>1.1000000000000001</v>
      </c>
      <c r="W135" s="350"/>
      <c r="X135" s="350"/>
      <c r="Y135" s="343">
        <f>ROUND(E135+G135+I135+J135+K135+L135+N135+O135+P135+R135+S135+T135+V135+W135+X135,2)</f>
        <v>1.1000000000000001</v>
      </c>
      <c r="Z135" s="344">
        <f>Y135*B135</f>
        <v>594</v>
      </c>
    </row>
    <row r="136" spans="1:26" ht="15.75" customHeight="1" thickTop="1">
      <c r="A136" s="133"/>
      <c r="B136" s="121"/>
      <c r="C136" s="77" t="s">
        <v>72</v>
      </c>
      <c r="D136" s="296"/>
      <c r="E136" s="88"/>
      <c r="F136" s="430"/>
      <c r="G136" s="129"/>
      <c r="H136" s="108"/>
      <c r="I136" s="88"/>
      <c r="J136" s="608"/>
      <c r="K136" s="88"/>
      <c r="L136" s="131">
        <v>2.4</v>
      </c>
      <c r="M136" s="591">
        <f>1.6/20*M123</f>
        <v>1.6</v>
      </c>
      <c r="N136" s="129">
        <f>M136/M123*N123</f>
        <v>1.6</v>
      </c>
      <c r="O136" s="88"/>
      <c r="P136" s="88"/>
      <c r="Q136" s="177"/>
      <c r="R136" s="113"/>
      <c r="S136" s="88"/>
      <c r="T136" s="88"/>
      <c r="U136" s="430">
        <f>56/80*U123</f>
        <v>56</v>
      </c>
      <c r="V136" s="129">
        <f>U136/U123*V123</f>
        <v>56</v>
      </c>
      <c r="W136" s="88"/>
      <c r="X136" s="88"/>
      <c r="Y136" s="288"/>
      <c r="Z136" s="123"/>
    </row>
    <row r="137" spans="1:26" ht="17.25" customHeight="1" thickBot="1">
      <c r="A137" s="346" t="str">
        <f>A40</f>
        <v xml:space="preserve">Яйцо </v>
      </c>
      <c r="B137" s="347">
        <f>B40</f>
        <v>10</v>
      </c>
      <c r="C137" s="348" t="s">
        <v>74</v>
      </c>
      <c r="D137" s="382"/>
      <c r="E137" s="350"/>
      <c r="F137" s="530"/>
      <c r="G137" s="386"/>
      <c r="H137" s="349"/>
      <c r="I137" s="350"/>
      <c r="J137" s="569"/>
      <c r="K137" s="350"/>
      <c r="L137" s="623">
        <f>ROUND(L136*B122/48,0)</f>
        <v>5</v>
      </c>
      <c r="M137" s="530">
        <f>ROUND(M136*F122/48,0)</f>
        <v>3</v>
      </c>
      <c r="N137" s="470">
        <f>M137</f>
        <v>3</v>
      </c>
      <c r="O137" s="350"/>
      <c r="P137" s="350"/>
      <c r="Q137" s="349"/>
      <c r="R137" s="350"/>
      <c r="S137" s="350"/>
      <c r="T137" s="350"/>
      <c r="U137" s="530">
        <f xml:space="preserve"> ROUND(U136*U122/1000/0.048,0)</f>
        <v>117</v>
      </c>
      <c r="V137" s="470">
        <f>U137</f>
        <v>117</v>
      </c>
      <c r="W137" s="350"/>
      <c r="X137" s="350"/>
      <c r="Y137" s="472">
        <f>ROUND(E137+G137+I137+J137+K137+L137+N137+O137+P137+R137+S137+T137+V137+W137+X137,0)</f>
        <v>125</v>
      </c>
      <c r="Z137" s="344">
        <f>Y137*B137</f>
        <v>1250</v>
      </c>
    </row>
    <row r="138" spans="1:26" ht="15.75" customHeight="1" thickTop="1">
      <c r="A138" s="133"/>
      <c r="B138" s="121"/>
      <c r="C138" s="77" t="s">
        <v>72</v>
      </c>
      <c r="D138" s="296"/>
      <c r="E138" s="88"/>
      <c r="F138" s="430">
        <v>23.1</v>
      </c>
      <c r="G138" s="129">
        <f>F138/F123*G123</f>
        <v>23.1</v>
      </c>
      <c r="H138" s="108"/>
      <c r="I138" s="88"/>
      <c r="J138" s="608"/>
      <c r="K138" s="88"/>
      <c r="L138" s="183"/>
      <c r="M138" s="848"/>
      <c r="N138" s="88"/>
      <c r="O138" s="88"/>
      <c r="P138" s="88"/>
      <c r="Q138" s="177"/>
      <c r="R138" s="129"/>
      <c r="S138" s="88"/>
      <c r="T138" s="88"/>
      <c r="U138" s="90"/>
      <c r="V138" s="113"/>
      <c r="W138" s="88"/>
      <c r="X138" s="88"/>
      <c r="Y138" s="288"/>
      <c r="Z138" s="123"/>
    </row>
    <row r="139" spans="1:26" ht="15.75" customHeight="1" thickBot="1">
      <c r="A139" s="346" t="str">
        <f>A42</f>
        <v>Геркулес</v>
      </c>
      <c r="B139" s="347">
        <f>B42</f>
        <v>40.78</v>
      </c>
      <c r="C139" s="348" t="s">
        <v>73</v>
      </c>
      <c r="D139" s="382"/>
      <c r="E139" s="350"/>
      <c r="F139" s="363">
        <f>ROUND(F138*F122/1000,2)</f>
        <v>2.31</v>
      </c>
      <c r="G139" s="341">
        <f>F139</f>
        <v>2.31</v>
      </c>
      <c r="H139" s="349"/>
      <c r="I139" s="350"/>
      <c r="J139" s="569"/>
      <c r="K139" s="350"/>
      <c r="L139" s="341"/>
      <c r="M139" s="361"/>
      <c r="N139" s="341"/>
      <c r="O139" s="350"/>
      <c r="P139" s="350"/>
      <c r="Q139" s="349"/>
      <c r="R139" s="350"/>
      <c r="S139" s="350"/>
      <c r="T139" s="350"/>
      <c r="U139" s="363"/>
      <c r="V139" s="851"/>
      <c r="W139" s="350"/>
      <c r="X139" s="350"/>
      <c r="Y139" s="343">
        <f>ROUND(E139+G139+I139+J139+K139+L139+N139+O139+P139+R139+S139+T139+V139+W139+X139,2)</f>
        <v>2.31</v>
      </c>
      <c r="Z139" s="344">
        <f>Y139*B139</f>
        <v>94.201800000000006</v>
      </c>
    </row>
    <row r="140" spans="1:26" ht="15.75" customHeight="1" thickTop="1">
      <c r="A140" s="133"/>
      <c r="B140" s="121"/>
      <c r="C140" s="77" t="s">
        <v>72</v>
      </c>
      <c r="D140" s="296"/>
      <c r="E140" s="88"/>
      <c r="F140" s="430"/>
      <c r="G140" s="129"/>
      <c r="H140" s="108"/>
      <c r="I140" s="88"/>
      <c r="J140" s="608"/>
      <c r="K140" s="88"/>
      <c r="L140" s="88"/>
      <c r="M140" s="497">
        <f>24.5/20*M123</f>
        <v>24.5</v>
      </c>
      <c r="N140" s="129">
        <f>M140/M123*N123</f>
        <v>24.5</v>
      </c>
      <c r="O140" s="88"/>
      <c r="P140" s="88"/>
      <c r="Q140" s="177"/>
      <c r="R140" s="129"/>
      <c r="S140" s="88"/>
      <c r="T140" s="88"/>
      <c r="U140" s="90"/>
      <c r="V140" s="629"/>
      <c r="W140" s="88"/>
      <c r="X140" s="88"/>
      <c r="Y140" s="288"/>
      <c r="Z140" s="123"/>
    </row>
    <row r="141" spans="1:26" ht="15.75" customHeight="1" thickBot="1">
      <c r="A141" s="346" t="str">
        <f>A44</f>
        <v>Фарш гов.</v>
      </c>
      <c r="B141" s="347">
        <f>B44</f>
        <v>288</v>
      </c>
      <c r="C141" s="348" t="s">
        <v>73</v>
      </c>
      <c r="D141" s="382"/>
      <c r="E141" s="350"/>
      <c r="F141" s="363"/>
      <c r="G141" s="341"/>
      <c r="H141" s="349"/>
      <c r="I141" s="350"/>
      <c r="J141" s="569"/>
      <c r="K141" s="350"/>
      <c r="L141" s="350"/>
      <c r="M141" s="363">
        <f>M140*M122/1000</f>
        <v>2.4500000000000002</v>
      </c>
      <c r="N141" s="341">
        <f>ROUND(M141,2)</f>
        <v>2.4500000000000002</v>
      </c>
      <c r="O141" s="341"/>
      <c r="P141" s="350"/>
      <c r="Q141" s="349"/>
      <c r="R141" s="350"/>
      <c r="S141" s="350"/>
      <c r="T141" s="350"/>
      <c r="U141" s="363"/>
      <c r="V141" s="341"/>
      <c r="W141" s="350"/>
      <c r="X141" s="350"/>
      <c r="Y141" s="343">
        <f>ROUND(E141+G141+I141+J141+K141+L141+N141+O141+P141+R141+S141+T141+V141+W141+X141,2)</f>
        <v>2.4500000000000002</v>
      </c>
      <c r="Z141" s="344">
        <f>Y141*B141</f>
        <v>705.6</v>
      </c>
    </row>
    <row r="142" spans="1:26" ht="15.75" customHeight="1" thickTop="1">
      <c r="A142" s="133"/>
      <c r="B142" s="121"/>
      <c r="C142" s="77" t="s">
        <v>72</v>
      </c>
      <c r="D142" s="296"/>
      <c r="E142" s="88"/>
      <c r="F142" s="90">
        <v>3</v>
      </c>
      <c r="G142" s="129">
        <f>F142/F123*G123</f>
        <v>3</v>
      </c>
      <c r="H142" s="108">
        <v>6</v>
      </c>
      <c r="I142" s="129">
        <f>H142/H123*I123</f>
        <v>6</v>
      </c>
      <c r="J142" s="608"/>
      <c r="K142" s="88"/>
      <c r="L142" s="183"/>
      <c r="M142" s="264"/>
      <c r="N142" s="88"/>
      <c r="O142" s="88"/>
      <c r="P142" s="88"/>
      <c r="Q142" s="177"/>
      <c r="R142" s="88"/>
      <c r="S142" s="131">
        <v>8</v>
      </c>
      <c r="T142" s="88"/>
      <c r="U142" s="90"/>
      <c r="V142" s="129"/>
      <c r="W142" s="131">
        <v>6</v>
      </c>
      <c r="X142" s="88"/>
      <c r="Y142" s="288"/>
      <c r="Z142" s="123"/>
    </row>
    <row r="143" spans="1:26" ht="15.75" customHeight="1" thickBot="1">
      <c r="A143" s="346" t="str">
        <f>A46</f>
        <v>Сахар</v>
      </c>
      <c r="B143" s="347">
        <f>B46</f>
        <v>62.77</v>
      </c>
      <c r="C143" s="348" t="s">
        <v>73</v>
      </c>
      <c r="D143" s="382"/>
      <c r="E143" s="350"/>
      <c r="F143" s="363">
        <f>F142*F122/1000</f>
        <v>0.3</v>
      </c>
      <c r="G143" s="341">
        <f>ROUND(F143,2)</f>
        <v>0.3</v>
      </c>
      <c r="H143" s="349">
        <f>H142*H122/1000</f>
        <v>0.6</v>
      </c>
      <c r="I143" s="341">
        <f>ROUND(H143,2)</f>
        <v>0.6</v>
      </c>
      <c r="J143" s="569"/>
      <c r="K143" s="350"/>
      <c r="L143" s="341"/>
      <c r="M143" s="361"/>
      <c r="N143" s="350"/>
      <c r="O143" s="341"/>
      <c r="P143" s="350"/>
      <c r="Q143" s="349"/>
      <c r="R143" s="350"/>
      <c r="S143" s="341">
        <f>ROUND(S142*B122/1000,2)</f>
        <v>0.8</v>
      </c>
      <c r="T143" s="350"/>
      <c r="U143" s="363"/>
      <c r="V143" s="350"/>
      <c r="W143" s="341">
        <f>ROUND(W142*B122/1000,2)</f>
        <v>0.6</v>
      </c>
      <c r="X143" s="350"/>
      <c r="Y143" s="343">
        <f>ROUND(E143+G143+I143+J143+K143+L143+N143+O143+P143+R143+S143+T143+V143+W143+X143,2)</f>
        <v>2.2999999999999998</v>
      </c>
      <c r="Z143" s="344">
        <f>Y143*B143</f>
        <v>144.37100000000001</v>
      </c>
    </row>
    <row r="144" spans="1:26" ht="15.75" customHeight="1" thickTop="1">
      <c r="A144" s="133"/>
      <c r="B144" s="121"/>
      <c r="C144" s="77" t="s">
        <v>72</v>
      </c>
      <c r="D144" s="296"/>
      <c r="E144" s="88"/>
      <c r="F144" s="90"/>
      <c r="G144" s="88"/>
      <c r="H144" s="108"/>
      <c r="I144" s="88"/>
      <c r="J144" s="608"/>
      <c r="K144" s="88"/>
      <c r="L144" s="137"/>
      <c r="M144" s="406"/>
      <c r="N144" s="88"/>
      <c r="O144" s="88"/>
      <c r="P144" s="88"/>
      <c r="Q144" s="177"/>
      <c r="R144" s="88"/>
      <c r="S144" s="131">
        <v>10</v>
      </c>
      <c r="T144" s="88"/>
      <c r="U144" s="90"/>
      <c r="V144" s="88"/>
      <c r="W144" s="88"/>
      <c r="X144" s="88"/>
      <c r="Y144" s="288"/>
      <c r="Z144" s="123"/>
    </row>
    <row r="145" spans="1:26" ht="15.75" customHeight="1" thickBot="1">
      <c r="A145" s="346" t="str">
        <f>A48</f>
        <v>Сухофрукты</v>
      </c>
      <c r="B145" s="347">
        <f>B48</f>
        <v>170</v>
      </c>
      <c r="C145" s="348" t="s">
        <v>73</v>
      </c>
      <c r="D145" s="382"/>
      <c r="E145" s="350"/>
      <c r="F145" s="363"/>
      <c r="G145" s="350"/>
      <c r="H145" s="349"/>
      <c r="I145" s="350"/>
      <c r="J145" s="569"/>
      <c r="K145" s="350"/>
      <c r="L145" s="341"/>
      <c r="M145" s="361"/>
      <c r="N145" s="350"/>
      <c r="O145" s="350"/>
      <c r="P145" s="350"/>
      <c r="Q145" s="349"/>
      <c r="R145" s="341"/>
      <c r="S145" s="341">
        <f>S144*B122/1000</f>
        <v>1</v>
      </c>
      <c r="T145" s="350"/>
      <c r="U145" s="363"/>
      <c r="V145" s="350"/>
      <c r="W145" s="350"/>
      <c r="X145" s="350"/>
      <c r="Y145" s="343">
        <f>ROUND(E145+G145+I145+J145+K145+L145+N145+O145+P145+R145+S145+T145+V145+W145+X145,2)</f>
        <v>1</v>
      </c>
      <c r="Z145" s="344">
        <f>Y145*B145</f>
        <v>170</v>
      </c>
    </row>
    <row r="146" spans="1:26" ht="15.75" customHeight="1" thickTop="1">
      <c r="A146" s="141"/>
      <c r="B146" s="102"/>
      <c r="C146" s="77" t="s">
        <v>72</v>
      </c>
      <c r="D146" s="296"/>
      <c r="E146" s="104"/>
      <c r="F146" s="103"/>
      <c r="G146" s="104"/>
      <c r="H146" s="108"/>
      <c r="I146" s="104"/>
      <c r="J146" s="608"/>
      <c r="K146" s="114">
        <f>K147/B122*1000</f>
        <v>100</v>
      </c>
      <c r="L146" s="114"/>
      <c r="M146" s="406"/>
      <c r="N146" s="184"/>
      <c r="O146" s="184"/>
      <c r="P146" s="104"/>
      <c r="Q146" s="177"/>
      <c r="R146" s="129"/>
      <c r="S146" s="104"/>
      <c r="T146" s="104"/>
      <c r="U146" s="103"/>
      <c r="V146" s="104"/>
      <c r="W146" s="104"/>
      <c r="X146" s="104"/>
      <c r="Y146" s="288"/>
      <c r="Z146" s="123"/>
    </row>
    <row r="147" spans="1:26" ht="15.75" customHeight="1" thickBot="1">
      <c r="A147" s="346" t="str">
        <f>A50</f>
        <v>Фрукт?</v>
      </c>
      <c r="B147" s="347">
        <f>B50</f>
        <v>100</v>
      </c>
      <c r="C147" s="348" t="s">
        <v>73</v>
      </c>
      <c r="D147" s="382"/>
      <c r="E147" s="350"/>
      <c r="F147" s="363"/>
      <c r="G147" s="350"/>
      <c r="H147" s="349"/>
      <c r="I147" s="350"/>
      <c r="J147" s="569"/>
      <c r="K147" s="339">
        <v>10</v>
      </c>
      <c r="L147" s="339"/>
      <c r="M147" s="849"/>
      <c r="N147" s="339"/>
      <c r="O147" s="341"/>
      <c r="P147" s="350"/>
      <c r="Q147" s="349"/>
      <c r="R147" s="350"/>
      <c r="S147" s="350"/>
      <c r="T147" s="350"/>
      <c r="U147" s="363"/>
      <c r="V147" s="350"/>
      <c r="W147" s="350"/>
      <c r="X147" s="350"/>
      <c r="Y147" s="343">
        <f>ROUND(E147+G147+I147+J147+K147+L147+N147+O147+P147+R147+S147+T147+V147+W147+X147,2)</f>
        <v>10</v>
      </c>
      <c r="Z147" s="344">
        <f>Y147*B147</f>
        <v>1000</v>
      </c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18" t="s">
        <v>71</v>
      </c>
    </row>
    <row r="149" spans="1:26">
      <c r="A149" s="26" t="s">
        <v>53</v>
      </c>
      <c r="B149" s="20"/>
      <c r="C149" s="65"/>
      <c r="D149" s="60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28" t="s">
        <v>41</v>
      </c>
      <c r="P149" s="14"/>
      <c r="Q149" s="14"/>
      <c r="R149" s="14"/>
      <c r="S149" s="28" t="s">
        <v>11</v>
      </c>
      <c r="T149" s="28"/>
      <c r="U149" s="14"/>
      <c r="V149" s="14"/>
      <c r="W149" s="14"/>
      <c r="X149" s="22"/>
      <c r="Y149" s="1047" t="s">
        <v>8</v>
      </c>
      <c r="Z149" s="1048"/>
    </row>
    <row r="150" spans="1:26">
      <c r="A150" s="168"/>
      <c r="B150" s="19"/>
      <c r="C150" s="5" t="s">
        <v>52</v>
      </c>
      <c r="D150" s="605"/>
      <c r="E150" s="1052">
        <f>E116</f>
        <v>0</v>
      </c>
      <c r="F150" s="1052"/>
      <c r="G150" s="1052"/>
      <c r="H150" s="1052"/>
      <c r="I150" s="1052"/>
      <c r="J150" s="1052"/>
      <c r="K150" s="1053"/>
      <c r="L150" s="606" t="s">
        <v>69</v>
      </c>
      <c r="M150" s="606"/>
      <c r="N150" s="1056" t="s">
        <v>16</v>
      </c>
      <c r="O150" s="1052"/>
      <c r="P150" s="1052"/>
      <c r="Q150" s="1052"/>
      <c r="R150" s="1052"/>
      <c r="S150" s="1052"/>
      <c r="T150" s="1053"/>
      <c r="U150" s="1056" t="s">
        <v>17</v>
      </c>
      <c r="V150" s="1052"/>
      <c r="W150" s="1052"/>
      <c r="X150" s="1053"/>
      <c r="Y150" s="1058" t="s">
        <v>3</v>
      </c>
      <c r="Z150" s="1059"/>
    </row>
    <row r="151" spans="1:26">
      <c r="A151" s="167"/>
      <c r="B151" s="5"/>
      <c r="C151" s="5" t="s">
        <v>51</v>
      </c>
      <c r="D151" s="603"/>
      <c r="E151" s="1054"/>
      <c r="F151" s="1054"/>
      <c r="G151" s="1054"/>
      <c r="H151" s="1054"/>
      <c r="I151" s="1054"/>
      <c r="J151" s="1054"/>
      <c r="K151" s="1055"/>
      <c r="L151" s="607"/>
      <c r="M151" s="607"/>
      <c r="N151" s="1057"/>
      <c r="O151" s="1054"/>
      <c r="P151" s="1054"/>
      <c r="Q151" s="1054"/>
      <c r="R151" s="1054"/>
      <c r="S151" s="1054"/>
      <c r="T151" s="1055"/>
      <c r="U151" s="1057"/>
      <c r="V151" s="1054"/>
      <c r="W151" s="1054"/>
      <c r="X151" s="1055"/>
      <c r="Y151" s="1047" t="s">
        <v>36</v>
      </c>
      <c r="Z151" s="1048"/>
    </row>
    <row r="152" spans="1:26" ht="12.75" customHeight="1">
      <c r="A152" s="167" t="s">
        <v>54</v>
      </c>
      <c r="B152" s="5" t="s">
        <v>65</v>
      </c>
      <c r="C152" s="5" t="s">
        <v>9</v>
      </c>
      <c r="D152" s="1162" t="str">
        <f>D118</f>
        <v>Бутерб. с маслом сл.</v>
      </c>
      <c r="E152" s="1157"/>
      <c r="F152" s="1107" t="str">
        <f>F118</f>
        <v>Каша мол.геркул. с масл. сл.</v>
      </c>
      <c r="G152" s="1157"/>
      <c r="H152" s="1107" t="str">
        <f>H118</f>
        <v>Какао с мол.</v>
      </c>
      <c r="I152" s="1157"/>
      <c r="J152" s="1038" t="str">
        <f>J118</f>
        <v>Батон вит.</v>
      </c>
      <c r="K152" s="1044" t="str">
        <f>K118</f>
        <v>Фрукты порц.</v>
      </c>
      <c r="L152" s="1070" t="str">
        <f t="shared" ref="L152:Q152" si="1">L118</f>
        <v>Салат карт. с горош.</v>
      </c>
      <c r="M152" s="1070" t="str">
        <f t="shared" si="1"/>
        <v>с фрикадельками</v>
      </c>
      <c r="N152" s="1070">
        <f t="shared" si="1"/>
        <v>0</v>
      </c>
      <c r="O152" s="1070" t="str">
        <f t="shared" si="1"/>
        <v>Суп картофельный</v>
      </c>
      <c r="P152" s="1070" t="str">
        <f t="shared" si="1"/>
        <v>Рис отварной</v>
      </c>
      <c r="Q152" s="1107" t="str">
        <f t="shared" si="1"/>
        <v>Рыба тушен. с овощами</v>
      </c>
      <c r="R152" s="1157"/>
      <c r="S152" s="1070" t="str">
        <f>S118</f>
        <v>Компот из с/фруктов</v>
      </c>
      <c r="T152" s="1070" t="s">
        <v>68</v>
      </c>
      <c r="U152" s="1101" t="str">
        <f>U118</f>
        <v>Омлет с сыром</v>
      </c>
      <c r="V152" s="1157">
        <f>V118</f>
        <v>0</v>
      </c>
      <c r="W152" s="1070" t="str">
        <f>W118</f>
        <v>Чай с молоком</v>
      </c>
      <c r="X152" s="1070" t="str">
        <f>X118</f>
        <v>Хлеб йодирован. пшен.</v>
      </c>
      <c r="Y152" s="24"/>
      <c r="Z152" s="23"/>
    </row>
    <row r="153" spans="1:26" ht="12.75" customHeight="1">
      <c r="A153" s="167"/>
      <c r="B153" s="5"/>
      <c r="C153" s="5" t="s">
        <v>10</v>
      </c>
      <c r="D153" s="1163"/>
      <c r="E153" s="1158"/>
      <c r="F153" s="1160"/>
      <c r="G153" s="1158"/>
      <c r="H153" s="1160"/>
      <c r="I153" s="1158"/>
      <c r="J153" s="1039"/>
      <c r="K153" s="1045"/>
      <c r="L153" s="1071"/>
      <c r="M153" s="1071"/>
      <c r="N153" s="1071"/>
      <c r="O153" s="1071"/>
      <c r="P153" s="1071"/>
      <c r="Q153" s="1160"/>
      <c r="R153" s="1158"/>
      <c r="S153" s="1071"/>
      <c r="T153" s="1071"/>
      <c r="U153" s="1102"/>
      <c r="V153" s="1158"/>
      <c r="W153" s="1071"/>
      <c r="X153" s="1071"/>
      <c r="Y153" s="19" t="s">
        <v>6</v>
      </c>
      <c r="Z153" s="166" t="s">
        <v>4</v>
      </c>
    </row>
    <row r="154" spans="1:26">
      <c r="A154" s="169"/>
      <c r="B154" s="4"/>
      <c r="C154" s="4"/>
      <c r="D154" s="1164"/>
      <c r="E154" s="1159"/>
      <c r="F154" s="1161"/>
      <c r="G154" s="1159"/>
      <c r="H154" s="1161"/>
      <c r="I154" s="1159"/>
      <c r="J154" s="1040"/>
      <c r="K154" s="1046"/>
      <c r="L154" s="1072"/>
      <c r="M154" s="1072"/>
      <c r="N154" s="1072"/>
      <c r="O154" s="1072"/>
      <c r="P154" s="1072"/>
      <c r="Q154" s="1161"/>
      <c r="R154" s="1159"/>
      <c r="S154" s="1072"/>
      <c r="T154" s="1072"/>
      <c r="U154" s="1103"/>
      <c r="V154" s="1159"/>
      <c r="W154" s="1072"/>
      <c r="X154" s="1072"/>
      <c r="Y154" s="4" t="s">
        <v>7</v>
      </c>
      <c r="Z154" s="165" t="s">
        <v>5</v>
      </c>
    </row>
    <row r="155" spans="1:26" ht="13.5" thickBot="1">
      <c r="A155" s="64">
        <v>1</v>
      </c>
      <c r="B155" s="810">
        <v>2</v>
      </c>
      <c r="C155" s="72">
        <v>3</v>
      </c>
      <c r="D155" s="810">
        <v>4</v>
      </c>
      <c r="E155" s="80">
        <v>5</v>
      </c>
      <c r="F155" s="86">
        <v>6</v>
      </c>
      <c r="G155" s="76">
        <v>7</v>
      </c>
      <c r="H155" s="87">
        <v>8</v>
      </c>
      <c r="I155" s="80">
        <v>9</v>
      </c>
      <c r="J155" s="81">
        <v>10</v>
      </c>
      <c r="K155" s="96">
        <v>11</v>
      </c>
      <c r="L155" s="96">
        <v>12</v>
      </c>
      <c r="M155" s="262">
        <v>13</v>
      </c>
      <c r="N155" s="80">
        <v>14</v>
      </c>
      <c r="O155" s="81">
        <v>15</v>
      </c>
      <c r="P155" s="80">
        <v>16</v>
      </c>
      <c r="Q155" s="97">
        <v>17</v>
      </c>
      <c r="R155" s="93">
        <v>18</v>
      </c>
      <c r="S155" s="96">
        <v>19</v>
      </c>
      <c r="T155" s="98">
        <v>20</v>
      </c>
      <c r="U155" s="691">
        <v>21</v>
      </c>
      <c r="V155" s="93">
        <v>22</v>
      </c>
      <c r="W155" s="80">
        <v>23</v>
      </c>
      <c r="X155" s="96">
        <v>24</v>
      </c>
      <c r="Y155" s="86">
        <v>25</v>
      </c>
      <c r="Z155" s="809">
        <v>26</v>
      </c>
    </row>
    <row r="156" spans="1:26" ht="17.100000000000001" customHeight="1" thickTop="1">
      <c r="A156" s="135"/>
      <c r="B156" s="13"/>
      <c r="C156" s="77" t="s">
        <v>72</v>
      </c>
      <c r="D156" s="297"/>
      <c r="E156" s="277"/>
      <c r="F156" s="109"/>
      <c r="G156" s="94"/>
      <c r="H156" s="109"/>
      <c r="I156" s="94"/>
      <c r="J156" s="667"/>
      <c r="K156" s="277"/>
      <c r="L156" s="130">
        <v>21.3</v>
      </c>
      <c r="M156" s="435"/>
      <c r="N156" s="277"/>
      <c r="O156" s="130">
        <v>98.6</v>
      </c>
      <c r="P156" s="130"/>
      <c r="Q156" s="109"/>
      <c r="R156" s="142"/>
      <c r="S156" s="94"/>
      <c r="T156" s="94"/>
      <c r="U156" s="685"/>
      <c r="V156" s="410"/>
      <c r="W156" s="277"/>
      <c r="X156" s="94"/>
      <c r="Y156" s="290"/>
      <c r="Z156" s="116"/>
    </row>
    <row r="157" spans="1:26" ht="17.100000000000001" customHeight="1" thickBot="1">
      <c r="A157" s="346" t="str">
        <f>A60</f>
        <v>Картофель</v>
      </c>
      <c r="B157" s="347">
        <f>B60</f>
        <v>28</v>
      </c>
      <c r="C157" s="348" t="s">
        <v>73</v>
      </c>
      <c r="D157" s="387"/>
      <c r="E157" s="353"/>
      <c r="F157" s="338"/>
      <c r="G157" s="337"/>
      <c r="H157" s="338"/>
      <c r="I157" s="337"/>
      <c r="J157" s="668"/>
      <c r="K157" s="353"/>
      <c r="L157" s="339">
        <f>L156*B122/1000</f>
        <v>2.13</v>
      </c>
      <c r="M157" s="352"/>
      <c r="N157" s="353"/>
      <c r="O157" s="339">
        <f>ROUND(O156*B122/1000,2)</f>
        <v>9.86</v>
      </c>
      <c r="P157" s="339"/>
      <c r="Q157" s="349"/>
      <c r="R157" s="340"/>
      <c r="S157" s="358"/>
      <c r="T157" s="358"/>
      <c r="U157" s="360"/>
      <c r="V157" s="350"/>
      <c r="W157" s="353"/>
      <c r="X157" s="337"/>
      <c r="Y157" s="343">
        <f>ROUND(E157+G157+I157+J157+K157+L157+N157+O157+P157+R157+S157+T157+V157+W157+X157,2)</f>
        <v>11.99</v>
      </c>
      <c r="Z157" s="344">
        <f>Y157*B157</f>
        <v>335.72</v>
      </c>
    </row>
    <row r="158" spans="1:26" ht="17.100000000000001" customHeight="1" thickTop="1">
      <c r="A158" s="133"/>
      <c r="B158" s="122"/>
      <c r="C158" s="77" t="s">
        <v>72</v>
      </c>
      <c r="D158" s="78"/>
      <c r="E158" s="268"/>
      <c r="F158" s="112"/>
      <c r="G158" s="106"/>
      <c r="H158" s="112"/>
      <c r="I158" s="106"/>
      <c r="J158" s="669"/>
      <c r="K158" s="268"/>
      <c r="L158" s="127">
        <v>7.9</v>
      </c>
      <c r="M158" s="693"/>
      <c r="N158" s="268"/>
      <c r="O158" s="127"/>
      <c r="P158" s="127"/>
      <c r="Q158" s="177"/>
      <c r="R158" s="106"/>
      <c r="S158" s="106"/>
      <c r="T158" s="106"/>
      <c r="U158" s="278"/>
      <c r="V158" s="500"/>
      <c r="W158" s="268"/>
      <c r="X158" s="106"/>
      <c r="Y158" s="291"/>
      <c r="Z158" s="123"/>
    </row>
    <row r="159" spans="1:26" ht="17.100000000000001" customHeight="1" thickBot="1">
      <c r="A159" s="346" t="str">
        <f>A62</f>
        <v>Горошек консерв.</v>
      </c>
      <c r="B159" s="347">
        <f>B62</f>
        <v>190</v>
      </c>
      <c r="C159" s="348" t="s">
        <v>73</v>
      </c>
      <c r="D159" s="387"/>
      <c r="E159" s="353"/>
      <c r="F159" s="338"/>
      <c r="G159" s="337"/>
      <c r="H159" s="338"/>
      <c r="I159" s="337"/>
      <c r="J159" s="668"/>
      <c r="K159" s="353"/>
      <c r="L159" s="339">
        <f>L158*B122/1000</f>
        <v>0.79</v>
      </c>
      <c r="M159" s="361"/>
      <c r="N159" s="353"/>
      <c r="O159" s="340"/>
      <c r="P159" s="339"/>
      <c r="Q159" s="349"/>
      <c r="R159" s="337"/>
      <c r="S159" s="337"/>
      <c r="T159" s="337"/>
      <c r="U159" s="360"/>
      <c r="V159" s="501"/>
      <c r="W159" s="353"/>
      <c r="X159" s="337"/>
      <c r="Y159" s="343">
        <f>ROUND(E159+G159+I159+J159+K159+L159+N159+O159+P159+R159+S159+T159+V159+W159+X159,2)</f>
        <v>0.79</v>
      </c>
      <c r="Z159" s="344">
        <f>Y159*B159</f>
        <v>150.1</v>
      </c>
    </row>
    <row r="160" spans="1:26" ht="17.100000000000001" customHeight="1" thickTop="1">
      <c r="A160" s="133"/>
      <c r="B160" s="122"/>
      <c r="C160" s="77" t="s">
        <v>72</v>
      </c>
      <c r="D160" s="78"/>
      <c r="E160" s="268"/>
      <c r="F160" s="112"/>
      <c r="G160" s="106"/>
      <c r="H160" s="112"/>
      <c r="I160" s="106"/>
      <c r="J160" s="669"/>
      <c r="K160" s="268"/>
      <c r="L160" s="106"/>
      <c r="M160" s="177">
        <f>2.4/20*M123</f>
        <v>2.4</v>
      </c>
      <c r="N160" s="129">
        <f>M160/M123*N123</f>
        <v>2.4</v>
      </c>
      <c r="O160" s="127">
        <v>7.7</v>
      </c>
      <c r="P160" s="106"/>
      <c r="Q160" s="665">
        <f>8/60*Q123</f>
        <v>8</v>
      </c>
      <c r="R160" s="181">
        <f>Q160/Q123*R123</f>
        <v>8</v>
      </c>
      <c r="S160" s="106"/>
      <c r="T160" s="106"/>
      <c r="U160" s="278"/>
      <c r="V160" s="499"/>
      <c r="W160" s="268"/>
      <c r="X160" s="106"/>
      <c r="Y160" s="291"/>
      <c r="Z160" s="124"/>
    </row>
    <row r="161" spans="1:26" ht="17.100000000000001" customHeight="1" thickBot="1">
      <c r="A161" s="346" t="str">
        <f>A64</f>
        <v>Лук</v>
      </c>
      <c r="B161" s="347">
        <f>B64</f>
        <v>37</v>
      </c>
      <c r="C161" s="348" t="s">
        <v>73</v>
      </c>
      <c r="D161" s="387"/>
      <c r="E161" s="353"/>
      <c r="F161" s="338"/>
      <c r="G161" s="337"/>
      <c r="H161" s="338"/>
      <c r="I161" s="337"/>
      <c r="J161" s="668"/>
      <c r="K161" s="353"/>
      <c r="L161" s="337"/>
      <c r="M161" s="349">
        <f>M160*B122/1000</f>
        <v>0.24</v>
      </c>
      <c r="N161" s="341">
        <f>ROUND(M161,2)</f>
        <v>0.24</v>
      </c>
      <c r="O161" s="339">
        <f>O160*B122/1000</f>
        <v>0.77</v>
      </c>
      <c r="P161" s="337"/>
      <c r="Q161" s="349">
        <f>Q160*Q122/1000</f>
        <v>0.8</v>
      </c>
      <c r="R161" s="339">
        <f>Q161</f>
        <v>0.8</v>
      </c>
      <c r="S161" s="337"/>
      <c r="T161" s="337"/>
      <c r="U161" s="360"/>
      <c r="V161" s="350"/>
      <c r="W161" s="353"/>
      <c r="X161" s="337"/>
      <c r="Y161" s="343">
        <f>ROUND(E161+G161+I161+J161+K161+L161+N161+O161+P161+R161+S161+T161+V161+W161+X161,2)</f>
        <v>1.81</v>
      </c>
      <c r="Z161" s="351">
        <f>Y161*B161</f>
        <v>66.97</v>
      </c>
    </row>
    <row r="162" spans="1:26" ht="17.100000000000001" customHeight="1" thickTop="1">
      <c r="A162" s="133"/>
      <c r="B162" s="122"/>
      <c r="C162" s="77" t="s">
        <v>72</v>
      </c>
      <c r="D162" s="78"/>
      <c r="E162" s="268"/>
      <c r="F162" s="112"/>
      <c r="G162" s="106"/>
      <c r="H162" s="112"/>
      <c r="I162" s="106"/>
      <c r="J162" s="669"/>
      <c r="K162" s="268"/>
      <c r="L162" s="127">
        <v>10.1</v>
      </c>
      <c r="M162" s="850"/>
      <c r="N162" s="268"/>
      <c r="O162" s="127">
        <v>8.5</v>
      </c>
      <c r="P162" s="106"/>
      <c r="Q162" s="665">
        <f>23/60*Q123</f>
        <v>23</v>
      </c>
      <c r="R162" s="129">
        <f>Q162/Q123*R123</f>
        <v>23</v>
      </c>
      <c r="S162" s="106"/>
      <c r="T162" s="106"/>
      <c r="U162" s="278"/>
      <c r="V162" s="499"/>
      <c r="W162" s="268"/>
      <c r="X162" s="106"/>
      <c r="Y162" s="291"/>
      <c r="Z162" s="123"/>
    </row>
    <row r="163" spans="1:26" ht="17.100000000000001" customHeight="1" thickBot="1">
      <c r="A163" s="346" t="str">
        <f>A66</f>
        <v>Морковь</v>
      </c>
      <c r="B163" s="347">
        <f>B66</f>
        <v>38</v>
      </c>
      <c r="C163" s="348" t="s">
        <v>73</v>
      </c>
      <c r="D163" s="387"/>
      <c r="E163" s="353"/>
      <c r="F163" s="338"/>
      <c r="G163" s="337"/>
      <c r="H163" s="338"/>
      <c r="I163" s="337"/>
      <c r="J163" s="668"/>
      <c r="K163" s="353"/>
      <c r="L163" s="339">
        <f>L162*B122/1000</f>
        <v>1.01</v>
      </c>
      <c r="M163" s="361"/>
      <c r="N163" s="553"/>
      <c r="O163" s="339">
        <f>O162*B122/1000</f>
        <v>0.85</v>
      </c>
      <c r="P163" s="337"/>
      <c r="Q163" s="349">
        <f>Q162*Q122/1000</f>
        <v>2.2999999999999998</v>
      </c>
      <c r="R163" s="339">
        <f>Q163</f>
        <v>2.2999999999999998</v>
      </c>
      <c r="S163" s="337"/>
      <c r="T163" s="337"/>
      <c r="U163" s="360"/>
      <c r="V163" s="350"/>
      <c r="W163" s="353"/>
      <c r="X163" s="337"/>
      <c r="Y163" s="343">
        <f>ROUND(E163+G163+I163+J163+K163+L163+N163+O163+P163+R163+S163+T163+V163+W163+X163,2)</f>
        <v>4.16</v>
      </c>
      <c r="Z163" s="344">
        <f>Y163*B163</f>
        <v>158.08000000000001</v>
      </c>
    </row>
    <row r="164" spans="1:26" ht="17.100000000000001" customHeight="1" thickTop="1">
      <c r="A164" s="133"/>
      <c r="B164" s="122"/>
      <c r="C164" s="77" t="s">
        <v>72</v>
      </c>
      <c r="D164" s="489">
        <v>20</v>
      </c>
      <c r="E164" s="184">
        <f>D164/D123*E123</f>
        <v>20</v>
      </c>
      <c r="F164" s="112"/>
      <c r="G164" s="106"/>
      <c r="H164" s="112"/>
      <c r="I164" s="106"/>
      <c r="J164" s="184">
        <f>J165/B122*1000</f>
        <v>10</v>
      </c>
      <c r="K164" s="184"/>
      <c r="L164" s="106"/>
      <c r="M164" s="270"/>
      <c r="N164" s="268"/>
      <c r="O164" s="106"/>
      <c r="P164" s="106"/>
      <c r="Q164" s="177"/>
      <c r="R164" s="114"/>
      <c r="S164" s="106"/>
      <c r="T164" s="106"/>
      <c r="U164" s="688"/>
      <c r="V164" s="500"/>
      <c r="W164" s="268"/>
      <c r="X164" s="128"/>
      <c r="Y164" s="291"/>
      <c r="Z164" s="123"/>
    </row>
    <row r="165" spans="1:26" ht="17.100000000000001" customHeight="1" thickBot="1">
      <c r="A165" s="346" t="str">
        <f>A68</f>
        <v>Батон витам.</v>
      </c>
      <c r="B165" s="347">
        <f>B68</f>
        <v>81.099999999999994</v>
      </c>
      <c r="C165" s="348" t="s">
        <v>73</v>
      </c>
      <c r="D165" s="490">
        <f>D164*F122/1000</f>
        <v>2</v>
      </c>
      <c r="E165" s="341">
        <f>D165</f>
        <v>2</v>
      </c>
      <c r="F165" s="338"/>
      <c r="G165" s="337"/>
      <c r="H165" s="338"/>
      <c r="I165" s="337"/>
      <c r="J165" s="341">
        <v>1</v>
      </c>
      <c r="K165" s="341"/>
      <c r="L165" s="337"/>
      <c r="M165" s="352"/>
      <c r="N165" s="353"/>
      <c r="O165" s="337"/>
      <c r="P165" s="337"/>
      <c r="Q165" s="349"/>
      <c r="R165" s="340"/>
      <c r="S165" s="337"/>
      <c r="T165" s="337"/>
      <c r="U165" s="675"/>
      <c r="V165" s="501"/>
      <c r="W165" s="353"/>
      <c r="X165" s="339"/>
      <c r="Y165" s="343">
        <f>ROUND(E165+G165+I165+J165+K165+L165+N165+O165+P165+R165+S165+T165+V165+W165+X165,2)</f>
        <v>3</v>
      </c>
      <c r="Z165" s="344">
        <f>Y165*B165</f>
        <v>243.29999999999998</v>
      </c>
    </row>
    <row r="166" spans="1:26" ht="17.100000000000001" customHeight="1" thickTop="1">
      <c r="A166" s="133"/>
      <c r="B166" s="122"/>
      <c r="C166" s="77" t="s">
        <v>72</v>
      </c>
      <c r="D166" s="287"/>
      <c r="E166" s="268"/>
      <c r="F166" s="112"/>
      <c r="G166" s="106"/>
      <c r="H166" s="112"/>
      <c r="I166" s="106"/>
      <c r="J166" s="563"/>
      <c r="K166" s="268"/>
      <c r="L166" s="106"/>
      <c r="M166" s="270"/>
      <c r="N166" s="268"/>
      <c r="O166" s="106"/>
      <c r="P166" s="106"/>
      <c r="Q166" s="112"/>
      <c r="R166" s="106"/>
      <c r="S166" s="106"/>
      <c r="T166" s="128">
        <f>T167/T122*1000</f>
        <v>30</v>
      </c>
      <c r="U166" s="687"/>
      <c r="V166" s="268"/>
      <c r="W166" s="268"/>
      <c r="X166" s="106"/>
      <c r="Y166" s="291"/>
      <c r="Z166" s="123"/>
    </row>
    <row r="167" spans="1:26" ht="17.100000000000001" customHeight="1" thickBot="1">
      <c r="A167" s="346" t="str">
        <f>A70</f>
        <v>Хлеб рж-пшен.</v>
      </c>
      <c r="B167" s="347">
        <f>B70</f>
        <v>55</v>
      </c>
      <c r="C167" s="348" t="s">
        <v>73</v>
      </c>
      <c r="D167" s="385"/>
      <c r="E167" s="353"/>
      <c r="F167" s="338"/>
      <c r="G167" s="337"/>
      <c r="H167" s="338"/>
      <c r="I167" s="337"/>
      <c r="J167" s="668"/>
      <c r="K167" s="353"/>
      <c r="L167" s="337"/>
      <c r="M167" s="352"/>
      <c r="N167" s="353"/>
      <c r="O167" s="337"/>
      <c r="P167" s="337"/>
      <c r="Q167" s="338"/>
      <c r="R167" s="337"/>
      <c r="S167" s="337"/>
      <c r="T167" s="339">
        <v>3</v>
      </c>
      <c r="U167" s="675"/>
      <c r="V167" s="353"/>
      <c r="W167" s="353"/>
      <c r="X167" s="337"/>
      <c r="Y167" s="343">
        <f>ROUND(E167+G167+I167+J167+K167+L167+N167+O167+P167+R167+S167+T167+V167+W167+X167,2)</f>
        <v>3</v>
      </c>
      <c r="Z167" s="344">
        <f>Y167*B167</f>
        <v>165</v>
      </c>
    </row>
    <row r="168" spans="1:26" ht="17.100000000000001" customHeight="1" thickTop="1">
      <c r="A168" s="133"/>
      <c r="B168" s="122"/>
      <c r="C168" s="77" t="s">
        <v>72</v>
      </c>
      <c r="D168" s="287"/>
      <c r="E168" s="268"/>
      <c r="F168" s="112"/>
      <c r="G168" s="106"/>
      <c r="H168" s="112"/>
      <c r="I168" s="106"/>
      <c r="J168" s="669"/>
      <c r="K168" s="268"/>
      <c r="L168" s="106"/>
      <c r="M168" s="270"/>
      <c r="N168" s="268"/>
      <c r="O168" s="106"/>
      <c r="P168" s="106"/>
      <c r="Q168" s="112"/>
      <c r="R168" s="106"/>
      <c r="S168" s="106"/>
      <c r="T168" s="106"/>
      <c r="U168" s="688"/>
      <c r="V168" s="268"/>
      <c r="W168" s="268"/>
      <c r="X168" s="128">
        <f>X169/X122*1000</f>
        <v>10</v>
      </c>
      <c r="Y168" s="291"/>
      <c r="Z168" s="123"/>
    </row>
    <row r="169" spans="1:26" ht="17.100000000000001" customHeight="1" thickBot="1">
      <c r="A169" s="346" t="str">
        <f>A72</f>
        <v xml:space="preserve">Хлеб  йод. пш. </v>
      </c>
      <c r="B169" s="347">
        <f>B72</f>
        <v>61.3</v>
      </c>
      <c r="C169" s="348" t="s">
        <v>73</v>
      </c>
      <c r="D169" s="385"/>
      <c r="E169" s="353"/>
      <c r="F169" s="338"/>
      <c r="G169" s="337"/>
      <c r="H169" s="338"/>
      <c r="I169" s="337"/>
      <c r="J169" s="668"/>
      <c r="K169" s="353"/>
      <c r="L169" s="337"/>
      <c r="M169" s="352"/>
      <c r="N169" s="353"/>
      <c r="O169" s="337"/>
      <c r="P169" s="337"/>
      <c r="Q169" s="338"/>
      <c r="R169" s="337"/>
      <c r="S169" s="337"/>
      <c r="T169" s="337"/>
      <c r="U169" s="675"/>
      <c r="V169" s="353"/>
      <c r="W169" s="353"/>
      <c r="X169" s="342">
        <v>1</v>
      </c>
      <c r="Y169" s="343">
        <f>ROUND(E169+G169+I169+J169+K169+L169+N169+O169+P169+R169+S169+T169+V169+W169+X169,2)</f>
        <v>1</v>
      </c>
      <c r="Z169" s="344">
        <f>Y169*B169</f>
        <v>61.3</v>
      </c>
    </row>
    <row r="170" spans="1:26" ht="17.100000000000001" customHeight="1" thickTop="1">
      <c r="A170" s="133"/>
      <c r="B170" s="122"/>
      <c r="C170" s="77" t="s">
        <v>72</v>
      </c>
      <c r="D170" s="287"/>
      <c r="E170" s="268"/>
      <c r="F170" s="112"/>
      <c r="G170" s="106"/>
      <c r="H170" s="112">
        <v>2</v>
      </c>
      <c r="I170" s="114">
        <f>H170/H123*I123</f>
        <v>2</v>
      </c>
      <c r="J170" s="669"/>
      <c r="K170" s="268"/>
      <c r="L170" s="106"/>
      <c r="M170" s="270"/>
      <c r="N170" s="137"/>
      <c r="O170" s="106"/>
      <c r="P170" s="106"/>
      <c r="Q170" s="112"/>
      <c r="R170" s="106"/>
      <c r="S170" s="106"/>
      <c r="T170" s="106"/>
      <c r="U170" s="278"/>
      <c r="V170" s="272"/>
      <c r="W170" s="272"/>
      <c r="X170" s="106"/>
      <c r="Y170" s="291"/>
      <c r="Z170" s="123"/>
    </row>
    <row r="171" spans="1:26" ht="17.100000000000001" customHeight="1" thickBot="1">
      <c r="A171" s="346" t="str">
        <f>A74</f>
        <v>Какао</v>
      </c>
      <c r="B171" s="347">
        <f>B74</f>
        <v>450</v>
      </c>
      <c r="C171" s="348" t="s">
        <v>73</v>
      </c>
      <c r="D171" s="385"/>
      <c r="E171" s="353"/>
      <c r="F171" s="338"/>
      <c r="G171" s="337"/>
      <c r="H171" s="469">
        <f>H170*F122/1000</f>
        <v>0.2</v>
      </c>
      <c r="I171" s="357">
        <f>H171</f>
        <v>0.2</v>
      </c>
      <c r="J171" s="668"/>
      <c r="K171" s="353"/>
      <c r="L171" s="337"/>
      <c r="M171" s="352"/>
      <c r="N171" s="341"/>
      <c r="O171" s="337"/>
      <c r="P171" s="337"/>
      <c r="Q171" s="338"/>
      <c r="R171" s="337"/>
      <c r="S171" s="337"/>
      <c r="T171" s="337"/>
      <c r="U171" s="360"/>
      <c r="V171" s="341"/>
      <c r="W171" s="354"/>
      <c r="X171" s="337"/>
      <c r="Y171" s="356">
        <f>ROUND(E171+G171+I171+J171+K171+L171+N171+O171+P171+R171+S171+T171+V171+W171+X171,3)</f>
        <v>0.2</v>
      </c>
      <c r="Z171" s="344">
        <f>Y171*B171</f>
        <v>90</v>
      </c>
    </row>
    <row r="172" spans="1:26" ht="17.100000000000001" customHeight="1" thickTop="1">
      <c r="A172" s="133"/>
      <c r="B172" s="122"/>
      <c r="C172" s="77" t="s">
        <v>72</v>
      </c>
      <c r="D172" s="287"/>
      <c r="E172" s="268"/>
      <c r="F172" s="112"/>
      <c r="G172" s="106"/>
      <c r="H172" s="108"/>
      <c r="I172" s="129"/>
      <c r="J172" s="669"/>
      <c r="K172" s="268"/>
      <c r="L172" s="106"/>
      <c r="M172" s="269"/>
      <c r="N172" s="268"/>
      <c r="O172" s="106"/>
      <c r="P172" s="106"/>
      <c r="Q172" s="112"/>
      <c r="R172" s="106"/>
      <c r="S172" s="106"/>
      <c r="T172" s="106"/>
      <c r="U172" s="688"/>
      <c r="V172" s="268"/>
      <c r="W172" s="272">
        <v>0.3</v>
      </c>
      <c r="X172" s="106"/>
      <c r="Y172" s="291"/>
      <c r="Z172" s="123"/>
    </row>
    <row r="173" spans="1:26" ht="17.100000000000001" customHeight="1" thickBot="1">
      <c r="A173" s="346" t="str">
        <f>A76</f>
        <v>Чай</v>
      </c>
      <c r="B173" s="347">
        <f>B76</f>
        <v>500</v>
      </c>
      <c r="C173" s="348" t="s">
        <v>73</v>
      </c>
      <c r="D173" s="385"/>
      <c r="E173" s="353"/>
      <c r="F173" s="338"/>
      <c r="G173" s="337"/>
      <c r="H173" s="349"/>
      <c r="I173" s="367"/>
      <c r="J173" s="668"/>
      <c r="K173" s="353"/>
      <c r="L173" s="337"/>
      <c r="M173" s="352"/>
      <c r="N173" s="353"/>
      <c r="O173" s="337"/>
      <c r="P173" s="337"/>
      <c r="Q173" s="338"/>
      <c r="R173" s="337"/>
      <c r="S173" s="337"/>
      <c r="T173" s="337"/>
      <c r="U173" s="675"/>
      <c r="V173" s="353"/>
      <c r="W173" s="366">
        <f>W172*W122/1000</f>
        <v>0.03</v>
      </c>
      <c r="X173" s="337"/>
      <c r="Y173" s="356">
        <f>ROUND(E173+G173+I173+J173+K173+L173+N173+O173+P173+R173+S173+T173+V173+W173+X173,3)</f>
        <v>0.03</v>
      </c>
      <c r="Z173" s="344">
        <f>Y173*B173</f>
        <v>15</v>
      </c>
    </row>
    <row r="174" spans="1:26" ht="17.100000000000001" customHeight="1" thickTop="1">
      <c r="A174" s="133"/>
      <c r="B174" s="122"/>
      <c r="C174" s="77" t="s">
        <v>72</v>
      </c>
      <c r="D174" s="287"/>
      <c r="E174" s="268"/>
      <c r="F174" s="112"/>
      <c r="G174" s="106"/>
      <c r="H174" s="112"/>
      <c r="I174" s="106"/>
      <c r="J174" s="669"/>
      <c r="K174" s="268"/>
      <c r="L174" s="114"/>
      <c r="M174" s="693"/>
      <c r="N174" s="268"/>
      <c r="O174" s="106"/>
      <c r="P174" s="106"/>
      <c r="Q174" s="112"/>
      <c r="R174" s="106"/>
      <c r="S174" s="106">
        <v>0.15</v>
      </c>
      <c r="T174" s="106"/>
      <c r="U174" s="278"/>
      <c r="V174" s="268"/>
      <c r="W174" s="268"/>
      <c r="X174" s="106"/>
      <c r="Y174" s="291"/>
      <c r="Z174" s="123"/>
    </row>
    <row r="175" spans="1:26" ht="17.100000000000001" customHeight="1" thickBot="1">
      <c r="A175" s="346" t="str">
        <f>A78</f>
        <v>Лимонная к-та</v>
      </c>
      <c r="B175" s="347">
        <f>B78</f>
        <v>900</v>
      </c>
      <c r="C175" s="348" t="s">
        <v>73</v>
      </c>
      <c r="D175" s="385"/>
      <c r="E175" s="353"/>
      <c r="F175" s="338"/>
      <c r="G175" s="337"/>
      <c r="H175" s="338"/>
      <c r="I175" s="337"/>
      <c r="J175" s="668"/>
      <c r="K175" s="353"/>
      <c r="L175" s="342"/>
      <c r="M175" s="361"/>
      <c r="N175" s="353"/>
      <c r="O175" s="342"/>
      <c r="P175" s="337"/>
      <c r="Q175" s="338"/>
      <c r="R175" s="337"/>
      <c r="S175" s="600">
        <f>S174*B122/1000</f>
        <v>1.4999999999999999E-2</v>
      </c>
      <c r="T175" s="337"/>
      <c r="U175" s="360"/>
      <c r="V175" s="353"/>
      <c r="W175" s="354"/>
      <c r="X175" s="337"/>
      <c r="Y175" s="356">
        <f>ROUND(E175+G175+I175+J175+K175+L175+N175+O175+P175+R175+S175+T175+V175+W175+X175,3)</f>
        <v>1.4999999999999999E-2</v>
      </c>
      <c r="Z175" s="344">
        <f>Y175*B175</f>
        <v>13.5</v>
      </c>
    </row>
    <row r="176" spans="1:26" ht="17.100000000000001" customHeight="1" thickTop="1">
      <c r="A176" s="133"/>
      <c r="B176" s="122"/>
      <c r="C176" s="77" t="s">
        <v>72</v>
      </c>
      <c r="D176" s="287"/>
      <c r="E176" s="271"/>
      <c r="F176" s="112"/>
      <c r="G176" s="105"/>
      <c r="H176" s="112"/>
      <c r="I176" s="105"/>
      <c r="J176" s="669"/>
      <c r="K176" s="271"/>
      <c r="L176" s="105"/>
      <c r="M176" s="273"/>
      <c r="N176" s="271"/>
      <c r="O176" s="127"/>
      <c r="P176" s="105"/>
      <c r="Q176" s="665"/>
      <c r="R176" s="181"/>
      <c r="S176" s="127"/>
      <c r="T176" s="105"/>
      <c r="U176" s="278"/>
      <c r="V176" s="271"/>
      <c r="W176" s="271"/>
      <c r="X176" s="105"/>
      <c r="Y176" s="291"/>
      <c r="Z176" s="123"/>
    </row>
    <row r="177" spans="1:26" ht="17.100000000000001" customHeight="1" thickBot="1">
      <c r="A177" s="346" t="str">
        <f>A80</f>
        <v>Паста том.</v>
      </c>
      <c r="B177" s="347">
        <f>B80</f>
        <v>370</v>
      </c>
      <c r="C177" s="348" t="s">
        <v>73</v>
      </c>
      <c r="D177" s="385"/>
      <c r="E177" s="353"/>
      <c r="F177" s="338"/>
      <c r="G177" s="337"/>
      <c r="H177" s="338"/>
      <c r="I177" s="337"/>
      <c r="J177" s="668"/>
      <c r="K177" s="353"/>
      <c r="L177" s="337"/>
      <c r="M177" s="352"/>
      <c r="N177" s="353"/>
      <c r="O177" s="339"/>
      <c r="P177" s="337"/>
      <c r="Q177" s="349"/>
      <c r="R177" s="339"/>
      <c r="S177" s="339"/>
      <c r="T177" s="337"/>
      <c r="U177" s="360"/>
      <c r="V177" s="353"/>
      <c r="W177" s="353"/>
      <c r="X177" s="337"/>
      <c r="Y177" s="343">
        <f>ROUND(E177+G177+I177+J177+K177+L177+N177+O177+P177+R177+S177+T177+V177+W177+X177,2)</f>
        <v>0</v>
      </c>
      <c r="Z177" s="344">
        <f>Y177*B177</f>
        <v>0</v>
      </c>
    </row>
    <row r="178" spans="1:26" ht="17.100000000000001" customHeight="1" thickTop="1">
      <c r="A178" s="133"/>
      <c r="B178" s="122"/>
      <c r="C178" s="77" t="s">
        <v>72</v>
      </c>
      <c r="D178" s="287"/>
      <c r="E178" s="268"/>
      <c r="F178" s="112"/>
      <c r="G178" s="106"/>
      <c r="H178" s="112"/>
      <c r="I178" s="106"/>
      <c r="J178" s="669"/>
      <c r="K178" s="268"/>
      <c r="L178" s="106"/>
      <c r="M178" s="269"/>
      <c r="N178" s="268"/>
      <c r="O178" s="127"/>
      <c r="P178" s="127"/>
      <c r="Q178" s="112"/>
      <c r="R178" s="251"/>
      <c r="S178" s="106"/>
      <c r="T178" s="106"/>
      <c r="U178" s="688"/>
      <c r="V178" s="686"/>
      <c r="W178" s="268"/>
      <c r="X178" s="106"/>
      <c r="Y178" s="291"/>
      <c r="Z178" s="123"/>
    </row>
    <row r="179" spans="1:26" ht="17.100000000000001" customHeight="1" thickBot="1">
      <c r="A179" s="346">
        <f>A82</f>
        <v>0</v>
      </c>
      <c r="B179" s="347">
        <f>B82</f>
        <v>0</v>
      </c>
      <c r="C179" s="348" t="s">
        <v>73</v>
      </c>
      <c r="D179" s="385"/>
      <c r="E179" s="353"/>
      <c r="F179" s="338"/>
      <c r="G179" s="337"/>
      <c r="H179" s="338"/>
      <c r="I179" s="337"/>
      <c r="J179" s="668"/>
      <c r="K179" s="353"/>
      <c r="L179" s="337"/>
      <c r="M179" s="352"/>
      <c r="N179" s="353"/>
      <c r="O179" s="339"/>
      <c r="P179" s="340"/>
      <c r="Q179" s="338"/>
      <c r="R179" s="358"/>
      <c r="S179" s="337"/>
      <c r="T179" s="337"/>
      <c r="U179" s="352"/>
      <c r="V179" s="367"/>
      <c r="W179" s="353"/>
      <c r="X179" s="337"/>
      <c r="Y179" s="343">
        <f>ROUND(E179+G179+I179+J179+K179+L179+N179+O179+P179+R179+S179+T179+V179+W179+X179,2)</f>
        <v>0</v>
      </c>
      <c r="Z179" s="344">
        <f>Y179*B179</f>
        <v>0</v>
      </c>
    </row>
    <row r="180" spans="1:26" ht="17.100000000000001" customHeight="1" thickTop="1">
      <c r="A180" s="133"/>
      <c r="B180" s="122"/>
      <c r="C180" s="77" t="s">
        <v>72</v>
      </c>
      <c r="D180" s="287"/>
      <c r="E180" s="268"/>
      <c r="F180" s="112"/>
      <c r="G180" s="114"/>
      <c r="H180" s="112"/>
      <c r="I180" s="106"/>
      <c r="J180" s="669"/>
      <c r="K180" s="268"/>
      <c r="L180" s="106"/>
      <c r="M180" s="274"/>
      <c r="N180" s="268"/>
      <c r="O180" s="106"/>
      <c r="P180" s="106"/>
      <c r="Q180" s="112"/>
      <c r="R180" s="252"/>
      <c r="S180" s="106"/>
      <c r="T180" s="106"/>
      <c r="U180" s="112"/>
      <c r="V180" s="114"/>
      <c r="W180" s="268"/>
      <c r="X180" s="106"/>
      <c r="Y180" s="291"/>
      <c r="Z180" s="123"/>
    </row>
    <row r="181" spans="1:26" ht="17.100000000000001" customHeight="1" thickBot="1">
      <c r="A181" s="346">
        <f>A84</f>
        <v>0</v>
      </c>
      <c r="B181" s="347">
        <f>B84</f>
        <v>0</v>
      </c>
      <c r="C181" s="348" t="s">
        <v>73</v>
      </c>
      <c r="D181" s="385"/>
      <c r="E181" s="353"/>
      <c r="F181" s="349"/>
      <c r="G181" s="339"/>
      <c r="H181" s="338"/>
      <c r="I181" s="337"/>
      <c r="J181" s="668"/>
      <c r="K181" s="353"/>
      <c r="L181" s="337"/>
      <c r="M181" s="361"/>
      <c r="N181" s="341"/>
      <c r="O181" s="339"/>
      <c r="P181" s="339"/>
      <c r="Q181" s="349"/>
      <c r="R181" s="339"/>
      <c r="S181" s="337"/>
      <c r="T181" s="337"/>
      <c r="U181" s="349"/>
      <c r="V181" s="339"/>
      <c r="W181" s="353"/>
      <c r="X181" s="337"/>
      <c r="Y181" s="343">
        <f>ROUND(E181+G181+I181+J181+K181+L181+N181+O181+P181+R181+S181+T181+V181+W181+X181,2)</f>
        <v>0</v>
      </c>
      <c r="Z181" s="344">
        <f>Y181*B181</f>
        <v>0</v>
      </c>
    </row>
    <row r="182" spans="1:26" ht="17.100000000000001" customHeight="1" thickTop="1">
      <c r="A182" s="133"/>
      <c r="B182" s="122"/>
      <c r="C182" s="77" t="s">
        <v>72</v>
      </c>
      <c r="D182" s="78"/>
      <c r="E182" s="268"/>
      <c r="F182" s="112"/>
      <c r="G182" s="106"/>
      <c r="H182" s="112"/>
      <c r="I182" s="106"/>
      <c r="J182" s="669"/>
      <c r="K182" s="268"/>
      <c r="L182" s="106"/>
      <c r="M182" s="270"/>
      <c r="N182" s="184"/>
      <c r="O182" s="106"/>
      <c r="P182" s="106"/>
      <c r="Q182" s="177"/>
      <c r="R182" s="129"/>
      <c r="S182" s="106"/>
      <c r="T182" s="106"/>
      <c r="U182" s="405"/>
      <c r="V182" s="268"/>
      <c r="W182" s="272"/>
      <c r="X182" s="106"/>
      <c r="Y182" s="291"/>
      <c r="Z182" s="123"/>
    </row>
    <row r="183" spans="1:26" ht="17.100000000000001" customHeight="1" thickBot="1">
      <c r="A183" s="346">
        <f>A86</f>
        <v>0</v>
      </c>
      <c r="B183" s="347">
        <f>B86</f>
        <v>0</v>
      </c>
      <c r="C183" s="348" t="s">
        <v>73</v>
      </c>
      <c r="D183" s="387"/>
      <c r="E183" s="353"/>
      <c r="F183" s="338"/>
      <c r="G183" s="337"/>
      <c r="H183" s="338"/>
      <c r="I183" s="337"/>
      <c r="J183" s="668"/>
      <c r="K183" s="353"/>
      <c r="L183" s="337"/>
      <c r="M183" s="361"/>
      <c r="N183" s="553"/>
      <c r="O183" s="339"/>
      <c r="P183" s="337"/>
      <c r="Q183" s="349"/>
      <c r="R183" s="341"/>
      <c r="S183" s="337"/>
      <c r="T183" s="337"/>
      <c r="U183" s="360"/>
      <c r="V183" s="350"/>
      <c r="W183" s="353"/>
      <c r="X183" s="337"/>
      <c r="Y183" s="343">
        <f>ROUND(E183+G183+I183+J183+K183+L183+N183+O183+P183+R183+S183+T183+V183+W183+X183,2)</f>
        <v>0</v>
      </c>
      <c r="Z183" s="344">
        <f>Y183*B183</f>
        <v>0</v>
      </c>
    </row>
    <row r="184" spans="1:26" ht="17.100000000000001" customHeight="1" thickTop="1">
      <c r="A184" s="133"/>
      <c r="B184" s="122"/>
      <c r="C184" s="77" t="s">
        <v>72</v>
      </c>
      <c r="D184" s="78"/>
      <c r="E184" s="268"/>
      <c r="F184" s="108"/>
      <c r="G184" s="129"/>
      <c r="H184" s="112"/>
      <c r="I184" s="106"/>
      <c r="J184" s="669"/>
      <c r="K184" s="268"/>
      <c r="L184" s="106"/>
      <c r="M184" s="270"/>
      <c r="N184" s="184"/>
      <c r="O184" s="106"/>
      <c r="P184" s="106"/>
      <c r="Q184" s="177"/>
      <c r="R184" s="106"/>
      <c r="S184" s="106"/>
      <c r="T184" s="106"/>
      <c r="U184" s="278"/>
      <c r="V184" s="268"/>
      <c r="W184" s="272"/>
      <c r="X184" s="106"/>
      <c r="Y184" s="291"/>
      <c r="Z184" s="123"/>
    </row>
    <row r="185" spans="1:26" ht="17.100000000000001" customHeight="1" thickBot="1">
      <c r="A185" s="346">
        <f>A88</f>
        <v>0</v>
      </c>
      <c r="B185" s="347">
        <f>B88</f>
        <v>0</v>
      </c>
      <c r="C185" s="348" t="s">
        <v>73</v>
      </c>
      <c r="D185" s="385"/>
      <c r="E185" s="353"/>
      <c r="F185" s="349"/>
      <c r="G185" s="341"/>
      <c r="H185" s="338"/>
      <c r="I185" s="337"/>
      <c r="J185" s="668"/>
      <c r="K185" s="353"/>
      <c r="L185" s="337"/>
      <c r="M185" s="352"/>
      <c r="N185" s="354"/>
      <c r="O185" s="337"/>
      <c r="P185" s="337"/>
      <c r="Q185" s="349"/>
      <c r="R185" s="337"/>
      <c r="S185" s="337"/>
      <c r="T185" s="337"/>
      <c r="U185" s="360"/>
      <c r="V185" s="353"/>
      <c r="W185" s="350"/>
      <c r="X185" s="337"/>
      <c r="Y185" s="343">
        <f>ROUND(E185+G185+I185+J185+K185+L185+N185+O185+P185+R185+S185+T185+V185+W185+X185,2)</f>
        <v>0</v>
      </c>
      <c r="Z185" s="344">
        <f>Y185*B185</f>
        <v>0</v>
      </c>
    </row>
    <row r="186" spans="1:26" ht="17.100000000000001" customHeight="1" thickTop="1">
      <c r="A186" s="133"/>
      <c r="B186" s="122"/>
      <c r="C186" s="77" t="s">
        <v>72</v>
      </c>
      <c r="D186" s="287"/>
      <c r="E186" s="268"/>
      <c r="F186" s="112"/>
      <c r="G186" s="106"/>
      <c r="H186" s="112"/>
      <c r="I186" s="106"/>
      <c r="J186" s="128"/>
      <c r="K186" s="106"/>
      <c r="L186" s="106"/>
      <c r="M186" s="274"/>
      <c r="N186" s="268"/>
      <c r="O186" s="106"/>
      <c r="P186" s="106"/>
      <c r="Q186" s="112"/>
      <c r="R186" s="106"/>
      <c r="S186" s="106"/>
      <c r="T186" s="106"/>
      <c r="U186" s="270"/>
      <c r="V186" s="268"/>
      <c r="W186" s="268"/>
      <c r="X186" s="106"/>
      <c r="Y186" s="291"/>
      <c r="Z186" s="123"/>
    </row>
    <row r="187" spans="1:26" ht="17.100000000000001" customHeight="1" thickBot="1">
      <c r="A187" s="346">
        <f>A90</f>
        <v>0</v>
      </c>
      <c r="B187" s="347">
        <f>B90</f>
        <v>0</v>
      </c>
      <c r="C187" s="308" t="s">
        <v>73</v>
      </c>
      <c r="D187" s="385"/>
      <c r="E187" s="353"/>
      <c r="F187" s="338"/>
      <c r="G187" s="337"/>
      <c r="H187" s="338"/>
      <c r="I187" s="337"/>
      <c r="J187" s="372"/>
      <c r="K187" s="353"/>
      <c r="L187" s="337"/>
      <c r="M187" s="361"/>
      <c r="N187" s="353"/>
      <c r="O187" s="337"/>
      <c r="P187" s="337"/>
      <c r="Q187" s="338"/>
      <c r="R187" s="337"/>
      <c r="S187" s="337"/>
      <c r="T187" s="337"/>
      <c r="U187" s="352"/>
      <c r="V187" s="353"/>
      <c r="W187" s="353"/>
      <c r="X187" s="337"/>
      <c r="Y187" s="343">
        <f>ROUND(E187+G187+I187+J187+K187+L187+N187+O187+P187+R187+S187+T187+V187+W187+X187,2)</f>
        <v>0</v>
      </c>
      <c r="Z187" s="312">
        <f>Y187*B187</f>
        <v>0</v>
      </c>
    </row>
    <row r="188" spans="1:26" ht="17.100000000000001" customHeight="1" thickTop="1">
      <c r="A188" s="133"/>
      <c r="B188" s="122"/>
      <c r="C188" s="77" t="s">
        <v>72</v>
      </c>
      <c r="D188" s="287"/>
      <c r="E188" s="268"/>
      <c r="F188" s="112">
        <v>1</v>
      </c>
      <c r="G188" s="114">
        <f>F188/F123*G123</f>
        <v>1</v>
      </c>
      <c r="H188" s="112"/>
      <c r="I188" s="106"/>
      <c r="J188" s="669"/>
      <c r="K188" s="268"/>
      <c r="L188" s="106">
        <v>0.1</v>
      </c>
      <c r="M188" s="112">
        <v>0.3</v>
      </c>
      <c r="N188" s="252">
        <f>M188/M123*N123</f>
        <v>0.3</v>
      </c>
      <c r="O188" s="106">
        <v>0.4</v>
      </c>
      <c r="P188" s="106">
        <v>2</v>
      </c>
      <c r="Q188" s="112">
        <v>0.3</v>
      </c>
      <c r="R188" s="252">
        <f>Q188/Q123*R123</f>
        <v>0.3</v>
      </c>
      <c r="S188" s="106"/>
      <c r="T188" s="106"/>
      <c r="U188" s="112">
        <v>0.4</v>
      </c>
      <c r="V188" s="114"/>
      <c r="W188" s="268"/>
      <c r="X188" s="106"/>
      <c r="Y188" s="291"/>
      <c r="Z188" s="123"/>
    </row>
    <row r="189" spans="1:26" ht="17.100000000000001" customHeight="1" thickBot="1">
      <c r="A189" s="346" t="str">
        <f>A92</f>
        <v>Соль иодиров.</v>
      </c>
      <c r="B189" s="347">
        <f>B92</f>
        <v>28</v>
      </c>
      <c r="C189" s="308" t="s">
        <v>73</v>
      </c>
      <c r="D189" s="385"/>
      <c r="E189" s="353"/>
      <c r="F189" s="349">
        <f>F188*F122/1000</f>
        <v>0.1</v>
      </c>
      <c r="G189" s="339">
        <f>F189</f>
        <v>0.1</v>
      </c>
      <c r="H189" s="338"/>
      <c r="I189" s="337"/>
      <c r="J189" s="668"/>
      <c r="K189" s="353"/>
      <c r="L189" s="339">
        <f>L188*B122/1000</f>
        <v>0.01</v>
      </c>
      <c r="M189" s="349">
        <f>M188*M122/1000</f>
        <v>0.03</v>
      </c>
      <c r="N189" s="339">
        <f>M189</f>
        <v>0.03</v>
      </c>
      <c r="O189" s="339">
        <f>O188*B122/1000</f>
        <v>0.04</v>
      </c>
      <c r="P189" s="339">
        <f>P188*B122/1000</f>
        <v>0.2</v>
      </c>
      <c r="Q189" s="349">
        <f>Q188*Q122/1000</f>
        <v>0.03</v>
      </c>
      <c r="R189" s="339">
        <f>Q189</f>
        <v>0.03</v>
      </c>
      <c r="S189" s="337"/>
      <c r="T189" s="337"/>
      <c r="U189" s="376">
        <f>U188*B122/1000</f>
        <v>0.04</v>
      </c>
      <c r="V189" s="339"/>
      <c r="W189" s="353"/>
      <c r="X189" s="337"/>
      <c r="Y189" s="343">
        <f>ROUND(E189+G189+I189+J189+K189+L189+N189+O189+P189+R189+S189+T189+U189+V189+W189+X189,2)</f>
        <v>0.45</v>
      </c>
      <c r="Z189" s="312">
        <f>Y189*B189</f>
        <v>12.6</v>
      </c>
    </row>
    <row r="190" spans="1:26" ht="17.100000000000001" customHeight="1">
      <c r="A190" s="136"/>
      <c r="B190" s="6"/>
      <c r="C190" s="75"/>
      <c r="D190" s="298"/>
      <c r="E190" s="271"/>
      <c r="F190" s="112"/>
      <c r="G190" s="105"/>
      <c r="H190" s="112"/>
      <c r="I190" s="105"/>
      <c r="J190" s="669"/>
      <c r="K190" s="271"/>
      <c r="L190" s="105"/>
      <c r="M190" s="105"/>
      <c r="N190" s="105"/>
      <c r="O190" s="105"/>
      <c r="P190" s="105"/>
      <c r="Q190" s="112"/>
      <c r="R190" s="105"/>
      <c r="S190" s="105"/>
      <c r="T190" s="105"/>
      <c r="U190" s="273"/>
      <c r="V190" s="271"/>
      <c r="W190" s="271"/>
      <c r="X190" s="105"/>
      <c r="Y190" s="291"/>
      <c r="Z190" s="126">
        <f>Z125+Z127+Z129+Z131+Z133+Z135+Z137+Z139+Z141+Z143+Z145+Z147+Z157+Z159+Z161+Z163+Z165+Z167+Z169+Z171+Z173+Z175+Z177+Z179+Z181+Z183+Z185+Z187+Z189</f>
        <v>9645.7859999999982</v>
      </c>
    </row>
    <row r="191" spans="1:26">
      <c r="A191" s="43" t="s">
        <v>50</v>
      </c>
      <c r="S191" s="43" t="s">
        <v>31</v>
      </c>
    </row>
    <row r="192" spans="1:26">
      <c r="A192" s="43" t="s">
        <v>318</v>
      </c>
      <c r="S192" s="43" t="s">
        <v>333</v>
      </c>
      <c r="Z192" s="118">
        <f>K110</f>
        <v>11000</v>
      </c>
    </row>
    <row r="193" spans="1:20">
      <c r="A193" s="43" t="s">
        <v>37</v>
      </c>
      <c r="S193" s="43" t="s">
        <v>31</v>
      </c>
    </row>
    <row r="194" spans="1:20">
      <c r="A194" s="9"/>
      <c r="S194" s="9"/>
      <c r="T194" s="32"/>
    </row>
  </sheetData>
  <mergeCells count="151">
    <mergeCell ref="K9:M9"/>
    <mergeCell ref="K13:M13"/>
    <mergeCell ref="N13:P13"/>
    <mergeCell ref="N15:P15"/>
    <mergeCell ref="E21:E23"/>
    <mergeCell ref="H13:J13"/>
    <mergeCell ref="H21:I23"/>
    <mergeCell ref="E104:G104"/>
    <mergeCell ref="H104:J104"/>
    <mergeCell ref="K104:M104"/>
    <mergeCell ref="N104:P104"/>
    <mergeCell ref="B9:C9"/>
    <mergeCell ref="A6:C6"/>
    <mergeCell ref="E6:G6"/>
    <mergeCell ref="H6:J6"/>
    <mergeCell ref="B8:C8"/>
    <mergeCell ref="E8:G8"/>
    <mergeCell ref="H8:J8"/>
    <mergeCell ref="A7:C7"/>
    <mergeCell ref="E7:G7"/>
    <mergeCell ref="H7:J7"/>
    <mergeCell ref="E9:G9"/>
    <mergeCell ref="H9:J9"/>
    <mergeCell ref="Z103:AA103"/>
    <mergeCell ref="B10:C10"/>
    <mergeCell ref="K10:M10"/>
    <mergeCell ref="D21:D23"/>
    <mergeCell ref="N19:T20"/>
    <mergeCell ref="D55:E57"/>
    <mergeCell ref="F55:G57"/>
    <mergeCell ref="H55:I57"/>
    <mergeCell ref="J21:J23"/>
    <mergeCell ref="T55:T57"/>
    <mergeCell ref="O21:O23"/>
    <mergeCell ref="P21:P23"/>
    <mergeCell ref="Q21:R23"/>
    <mergeCell ref="S21:S23"/>
    <mergeCell ref="O55:O57"/>
    <mergeCell ref="P55:P57"/>
    <mergeCell ref="Q55:R57"/>
    <mergeCell ref="S55:S57"/>
    <mergeCell ref="K21:K23"/>
    <mergeCell ref="R11:X12"/>
    <mergeCell ref="T21:T23"/>
    <mergeCell ref="N53:T54"/>
    <mergeCell ref="U53:X54"/>
    <mergeCell ref="D19:K20"/>
    <mergeCell ref="Z104:AA104"/>
    <mergeCell ref="U55:U57"/>
    <mergeCell ref="L55:L57"/>
    <mergeCell ref="E53:K54"/>
    <mergeCell ref="F21:F23"/>
    <mergeCell ref="G21:G23"/>
    <mergeCell ref="B106:C106"/>
    <mergeCell ref="E106:G106"/>
    <mergeCell ref="A103:C103"/>
    <mergeCell ref="E103:G103"/>
    <mergeCell ref="H103:J103"/>
    <mergeCell ref="R104:W105"/>
    <mergeCell ref="X104:Y104"/>
    <mergeCell ref="K105:M105"/>
    <mergeCell ref="N105:P105"/>
    <mergeCell ref="U21:V23"/>
    <mergeCell ref="Y54:Z54"/>
    <mergeCell ref="W55:W57"/>
    <mergeCell ref="X55:X57"/>
    <mergeCell ref="Y53:Z53"/>
    <mergeCell ref="J55:J57"/>
    <mergeCell ref="K55:K57"/>
    <mergeCell ref="P100:AA100"/>
    <mergeCell ref="K103:M103"/>
    <mergeCell ref="A104:C104"/>
    <mergeCell ref="Q152:R154"/>
    <mergeCell ref="S152:S154"/>
    <mergeCell ref="H105:J105"/>
    <mergeCell ref="F152:G154"/>
    <mergeCell ref="H152:I154"/>
    <mergeCell ref="B107:C107"/>
    <mergeCell ref="B105:C105"/>
    <mergeCell ref="L152:L154"/>
    <mergeCell ref="N152:N154"/>
    <mergeCell ref="E105:G105"/>
    <mergeCell ref="O152:O154"/>
    <mergeCell ref="P152:P154"/>
    <mergeCell ref="D152:E154"/>
    <mergeCell ref="H106:J106"/>
    <mergeCell ref="F118:F120"/>
    <mergeCell ref="G118:G120"/>
    <mergeCell ref="M118:N120"/>
    <mergeCell ref="D116:K117"/>
    <mergeCell ref="D118:D120"/>
    <mergeCell ref="M152:M154"/>
    <mergeCell ref="J152:J154"/>
    <mergeCell ref="K152:K154"/>
    <mergeCell ref="K106:M106"/>
    <mergeCell ref="K107:M107"/>
    <mergeCell ref="R108:X109"/>
    <mergeCell ref="H110:J110"/>
    <mergeCell ref="K110:M110"/>
    <mergeCell ref="N110:P110"/>
    <mergeCell ref="N112:P112"/>
    <mergeCell ref="W152:W154"/>
    <mergeCell ref="X152:X154"/>
    <mergeCell ref="S118:S120"/>
    <mergeCell ref="T118:T120"/>
    <mergeCell ref="W118:W120"/>
    <mergeCell ref="X118:X120"/>
    <mergeCell ref="V152:V154"/>
    <mergeCell ref="T152:T154"/>
    <mergeCell ref="U152:U154"/>
    <mergeCell ref="Y149:Z149"/>
    <mergeCell ref="E150:K151"/>
    <mergeCell ref="N150:T151"/>
    <mergeCell ref="U150:X151"/>
    <mergeCell ref="Y116:Z116"/>
    <mergeCell ref="Y117:Z117"/>
    <mergeCell ref="Y115:Z115"/>
    <mergeCell ref="N116:T117"/>
    <mergeCell ref="U116:X117"/>
    <mergeCell ref="H118:I120"/>
    <mergeCell ref="L118:L120"/>
    <mergeCell ref="O118:O120"/>
    <mergeCell ref="P118:P120"/>
    <mergeCell ref="Y150:Z150"/>
    <mergeCell ref="Y151:Z151"/>
    <mergeCell ref="Q118:R120"/>
    <mergeCell ref="E118:E120"/>
    <mergeCell ref="U118:V120"/>
    <mergeCell ref="J118:J120"/>
    <mergeCell ref="K118:K120"/>
    <mergeCell ref="P3:AA3"/>
    <mergeCell ref="K6:M6"/>
    <mergeCell ref="Z6:AA6"/>
    <mergeCell ref="K7:M7"/>
    <mergeCell ref="N7:P7"/>
    <mergeCell ref="R7:W8"/>
    <mergeCell ref="X7:Y7"/>
    <mergeCell ref="Z7:AA7"/>
    <mergeCell ref="K8:M8"/>
    <mergeCell ref="N8:P8"/>
    <mergeCell ref="Y18:Z18"/>
    <mergeCell ref="U19:X20"/>
    <mergeCell ref="Y19:Z19"/>
    <mergeCell ref="Y20:Z20"/>
    <mergeCell ref="W21:W23"/>
    <mergeCell ref="X21:X23"/>
    <mergeCell ref="Y52:Z52"/>
    <mergeCell ref="V55:V57"/>
    <mergeCell ref="L21:L23"/>
    <mergeCell ref="M21:N23"/>
    <mergeCell ref="M55:N57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202"/>
  <sheetViews>
    <sheetView showGridLines="0" topLeftCell="A96" zoomScale="96" zoomScaleNormal="96" workbookViewId="0">
      <selection activeCell="F2" sqref="F2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6.28515625" customWidth="1"/>
    <col min="5" max="5" width="6.85546875" customWidth="1"/>
    <col min="6" max="6" width="6" customWidth="1"/>
    <col min="7" max="7" width="8.5703125" customWidth="1"/>
    <col min="8" max="8" width="5.42578125" customWidth="1"/>
    <col min="9" max="9" width="7" customWidth="1"/>
    <col min="10" max="10" width="6.85546875" customWidth="1"/>
    <col min="11" max="11" width="6.7109375" customWidth="1"/>
    <col min="12" max="12" width="7.42578125" customWidth="1"/>
    <col min="13" max="13" width="6.28515625" customWidth="1"/>
    <col min="14" max="14" width="7.140625" customWidth="1"/>
    <col min="15" max="15" width="7.28515625" customWidth="1"/>
    <col min="16" max="16" width="1.85546875" hidden="1" customWidth="1"/>
    <col min="17" max="17" width="6.28515625" customWidth="1"/>
    <col min="18" max="18" width="8.5703125" customWidth="1"/>
    <col min="19" max="19" width="7" customWidth="1"/>
    <col min="20" max="20" width="6.42578125" customWidth="1"/>
    <col min="21" max="21" width="7.5703125" customWidth="1"/>
    <col min="22" max="22" width="6.7109375" customWidth="1"/>
    <col min="23" max="23" width="8.140625" customWidth="1"/>
    <col min="24" max="24" width="7.85546875" customWidth="1"/>
    <col min="25" max="25" width="6" customWidth="1"/>
    <col min="26" max="26" width="1.140625" hidden="1" customWidth="1"/>
    <col min="27" max="27" width="8.140625" customWidth="1"/>
    <col min="28" max="28" width="11" customWidth="1"/>
    <col min="29" max="29" width="4.7109375" customWidth="1"/>
    <col min="30" max="30" width="9.42578125" customWidth="1"/>
  </cols>
  <sheetData>
    <row r="1" spans="1:34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7"/>
      <c r="W1" s="10"/>
      <c r="X1" s="10"/>
      <c r="Y1" s="10"/>
      <c r="Z1" s="10"/>
      <c r="AA1" s="11"/>
      <c r="AB1" s="11"/>
      <c r="AC1" s="7"/>
      <c r="AD1" s="7"/>
      <c r="AE1" s="7"/>
      <c r="AF1" s="7"/>
      <c r="AG1" s="7"/>
      <c r="AH1" s="7"/>
    </row>
    <row r="2" spans="1:34" ht="15" customHeight="1">
      <c r="A2" s="3" t="s">
        <v>319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7"/>
      <c r="W2" s="10"/>
      <c r="X2" s="10"/>
      <c r="Y2" s="10"/>
      <c r="Z2" s="10"/>
      <c r="AA2" s="11"/>
      <c r="AB2" s="11"/>
      <c r="AC2" s="7"/>
      <c r="AD2" s="7"/>
      <c r="AE2" s="7"/>
      <c r="AF2" s="7"/>
      <c r="AG2" s="7"/>
      <c r="AH2" s="7"/>
    </row>
    <row r="3" spans="1:34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1060" t="s">
        <v>80</v>
      </c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15"/>
      <c r="AD3" s="115"/>
      <c r="AE3" s="7"/>
      <c r="AF3" s="7"/>
      <c r="AG3" s="7"/>
      <c r="AH3" s="7"/>
    </row>
    <row r="4" spans="1:34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AC4" s="7"/>
      <c r="AD4" s="7"/>
      <c r="AE4" s="7"/>
      <c r="AF4" s="7"/>
      <c r="AG4" s="7"/>
      <c r="AH4" s="7"/>
    </row>
    <row r="5" spans="1:34" ht="4.5" hidden="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2"/>
      <c r="O5" s="3"/>
      <c r="P5" s="2"/>
      <c r="Q5" s="2"/>
      <c r="R5" s="2"/>
      <c r="S5" s="2"/>
      <c r="T5" s="1"/>
      <c r="U5" s="7"/>
      <c r="V5" s="7"/>
      <c r="W5" s="7"/>
      <c r="X5" s="7"/>
      <c r="Y5" s="7"/>
      <c r="Z5" s="7"/>
      <c r="AC5" s="7"/>
      <c r="AD5" s="7"/>
      <c r="AE5" s="7"/>
      <c r="AF5" s="7"/>
      <c r="AG5" s="7"/>
      <c r="AH5" s="7"/>
    </row>
    <row r="6" spans="1:34" ht="15.75" customHeight="1" thickBot="1">
      <c r="A6" s="1048" t="s">
        <v>42</v>
      </c>
      <c r="B6" s="1048"/>
      <c r="C6" s="1048"/>
      <c r="D6" s="604"/>
      <c r="E6" s="1047" t="s">
        <v>35</v>
      </c>
      <c r="F6" s="1048"/>
      <c r="G6" s="1049"/>
      <c r="H6" s="1047" t="s">
        <v>60</v>
      </c>
      <c r="I6" s="1048"/>
      <c r="J6" s="1049"/>
      <c r="K6" s="1047" t="s">
        <v>58</v>
      </c>
      <c r="L6" s="1048"/>
      <c r="M6" s="1048"/>
      <c r="N6" s="1048"/>
      <c r="O6" s="31"/>
      <c r="P6" s="21"/>
      <c r="Q6" s="31"/>
      <c r="R6" s="21"/>
      <c r="S6" s="3"/>
      <c r="T6" s="7"/>
      <c r="U6" s="7"/>
      <c r="V6" s="7"/>
      <c r="W6" s="7"/>
      <c r="X6" s="7"/>
      <c r="Y6" s="7"/>
      <c r="Z6" s="7"/>
      <c r="AA6" s="1088" t="s">
        <v>0</v>
      </c>
      <c r="AB6" s="1089"/>
      <c r="AC6" s="7"/>
      <c r="AD6" s="7"/>
      <c r="AE6" s="7"/>
      <c r="AF6" s="7"/>
      <c r="AG6" s="7"/>
      <c r="AH6" s="7"/>
    </row>
    <row r="7" spans="1:34" ht="11.25" customHeight="1">
      <c r="A7" s="1059" t="s">
        <v>43</v>
      </c>
      <c r="B7" s="1059"/>
      <c r="C7" s="1059"/>
      <c r="D7" s="602"/>
      <c r="E7" s="1065" t="s">
        <v>34</v>
      </c>
      <c r="F7" s="1066"/>
      <c r="G7" s="1067"/>
      <c r="H7" s="1065" t="s">
        <v>12</v>
      </c>
      <c r="I7" s="1066"/>
      <c r="J7" s="1067"/>
      <c r="K7" s="1065" t="s">
        <v>15</v>
      </c>
      <c r="L7" s="1066"/>
      <c r="M7" s="1066"/>
      <c r="N7" s="1108"/>
      <c r="O7" s="1065" t="s">
        <v>14</v>
      </c>
      <c r="P7" s="1067"/>
      <c r="Q7" s="1065" t="s">
        <v>55</v>
      </c>
      <c r="R7" s="1067"/>
      <c r="S7" s="1092" t="s">
        <v>222</v>
      </c>
      <c r="T7" s="1093"/>
      <c r="U7" s="1093"/>
      <c r="V7" s="1093"/>
      <c r="W7" s="1093"/>
      <c r="X7" s="1093"/>
      <c r="Y7" s="1094" t="s">
        <v>190</v>
      </c>
      <c r="Z7" s="1111"/>
      <c r="AA7" s="1090" t="s">
        <v>23</v>
      </c>
      <c r="AB7" s="1091"/>
      <c r="AC7" s="7"/>
      <c r="AD7" s="7"/>
      <c r="AE7" s="7"/>
      <c r="AF7" s="7"/>
      <c r="AG7" s="7"/>
      <c r="AH7" s="7"/>
    </row>
    <row r="8" spans="1:34" ht="12.75" customHeight="1" thickBot="1">
      <c r="A8" s="212" t="s">
        <v>44</v>
      </c>
      <c r="B8" s="1047" t="s">
        <v>46</v>
      </c>
      <c r="C8" s="1048"/>
      <c r="D8" s="602"/>
      <c r="E8" s="1065" t="s">
        <v>39</v>
      </c>
      <c r="F8" s="1066"/>
      <c r="G8" s="1067"/>
      <c r="H8" s="1065" t="s">
        <v>49</v>
      </c>
      <c r="I8" s="1066"/>
      <c r="J8" s="1067"/>
      <c r="K8" s="1065" t="s">
        <v>59</v>
      </c>
      <c r="L8" s="1066"/>
      <c r="M8" s="1066"/>
      <c r="N8" s="1066"/>
      <c r="O8" s="1065" t="s">
        <v>40</v>
      </c>
      <c r="P8" s="1067"/>
      <c r="Q8" s="1065" t="s">
        <v>56</v>
      </c>
      <c r="R8" s="1067"/>
      <c r="S8" s="1093"/>
      <c r="T8" s="1093"/>
      <c r="U8" s="1093"/>
      <c r="V8" s="1093"/>
      <c r="W8" s="1093"/>
      <c r="X8" s="1093"/>
      <c r="Y8" s="700"/>
      <c r="AA8" s="53"/>
      <c r="AB8" s="55"/>
      <c r="AC8" s="7"/>
      <c r="AD8" s="7"/>
      <c r="AE8" s="7"/>
      <c r="AF8" s="7"/>
      <c r="AG8" s="7"/>
      <c r="AH8" s="7"/>
    </row>
    <row r="9" spans="1:34" ht="15.75" customHeight="1" thickBot="1">
      <c r="A9" s="211" t="s">
        <v>45</v>
      </c>
      <c r="B9" s="1065" t="s">
        <v>47</v>
      </c>
      <c r="C9" s="1108"/>
      <c r="D9" s="601"/>
      <c r="E9" s="1065" t="s">
        <v>38</v>
      </c>
      <c r="F9" s="1066"/>
      <c r="G9" s="1067"/>
      <c r="H9" s="1065" t="s">
        <v>13</v>
      </c>
      <c r="I9" s="1066"/>
      <c r="J9" s="1067"/>
      <c r="K9" s="1065" t="s">
        <v>38</v>
      </c>
      <c r="L9" s="1066"/>
      <c r="M9" s="1066"/>
      <c r="N9" s="1066"/>
      <c r="O9" s="25"/>
      <c r="P9" s="3"/>
      <c r="Q9" s="1065" t="s">
        <v>57</v>
      </c>
      <c r="R9" s="1067"/>
      <c r="S9" s="3" t="s">
        <v>194</v>
      </c>
      <c r="T9" s="548"/>
      <c r="U9" s="548"/>
      <c r="V9" s="120"/>
      <c r="W9" s="120"/>
      <c r="X9" s="120"/>
      <c r="Y9" s="700" t="s">
        <v>191</v>
      </c>
      <c r="Z9" s="700" t="s">
        <v>191</v>
      </c>
      <c r="AA9" s="701"/>
      <c r="AB9" s="708"/>
      <c r="AC9" s="120"/>
      <c r="AD9" s="120"/>
      <c r="AE9" s="7"/>
      <c r="AF9" s="7"/>
      <c r="AG9" s="7"/>
      <c r="AH9" s="7"/>
    </row>
    <row r="10" spans="1:34" ht="9" customHeight="1">
      <c r="A10" s="17"/>
      <c r="B10" s="1058" t="s">
        <v>48</v>
      </c>
      <c r="C10" s="1059"/>
      <c r="D10" s="602"/>
      <c r="E10" s="33"/>
      <c r="F10" s="3"/>
      <c r="G10" s="30"/>
      <c r="H10" s="3"/>
      <c r="I10" s="3"/>
      <c r="J10" s="30"/>
      <c r="K10" s="1058"/>
      <c r="L10" s="1059"/>
      <c r="M10" s="1059"/>
      <c r="N10" s="1059"/>
      <c r="O10" s="25"/>
      <c r="P10" s="3"/>
      <c r="Q10" s="25"/>
      <c r="R10" s="17"/>
      <c r="T10" s="709" t="s">
        <v>96</v>
      </c>
      <c r="Y10" s="699" t="s">
        <v>199</v>
      </c>
      <c r="Z10" s="32"/>
      <c r="AA10" s="702"/>
      <c r="AB10" s="703"/>
    </row>
    <row r="11" spans="1:34" ht="11.25" customHeight="1" thickBot="1">
      <c r="A11" s="58">
        <v>1</v>
      </c>
      <c r="B11" s="62"/>
      <c r="C11" s="63">
        <v>2</v>
      </c>
      <c r="D11" s="292"/>
      <c r="E11" s="147"/>
      <c r="F11" s="147">
        <v>3</v>
      </c>
      <c r="G11" s="148"/>
      <c r="H11" s="147"/>
      <c r="I11" s="147">
        <v>4</v>
      </c>
      <c r="J11" s="148"/>
      <c r="K11" s="147"/>
      <c r="L11" s="147"/>
      <c r="M11" s="651"/>
      <c r="N11" s="147">
        <v>5</v>
      </c>
      <c r="O11" s="150"/>
      <c r="P11" s="147"/>
      <c r="Q11" s="1104">
        <v>7</v>
      </c>
      <c r="R11" s="1105"/>
      <c r="S11" s="1074" t="s">
        <v>307</v>
      </c>
      <c r="T11" s="1112"/>
      <c r="U11" s="1112"/>
      <c r="V11" s="1112"/>
      <c r="W11" s="1112"/>
      <c r="X11" s="1112"/>
      <c r="Y11" s="1111"/>
      <c r="Z11" s="699" t="s">
        <v>199</v>
      </c>
      <c r="AA11" s="705"/>
      <c r="AB11" s="704"/>
      <c r="AC11" s="7"/>
      <c r="AD11" s="7"/>
      <c r="AE11" s="7"/>
      <c r="AF11" s="7"/>
      <c r="AG11" s="7"/>
      <c r="AH11" s="7"/>
    </row>
    <row r="12" spans="1:34" ht="9" customHeight="1">
      <c r="A12" s="37"/>
      <c r="B12" s="38"/>
      <c r="C12" s="38"/>
      <c r="D12" s="38"/>
      <c r="E12" s="38"/>
      <c r="F12" s="38"/>
      <c r="G12" s="39"/>
      <c r="H12" s="38"/>
      <c r="I12" s="38"/>
      <c r="J12" s="39"/>
      <c r="K12" s="38"/>
      <c r="L12" s="38"/>
      <c r="M12" s="38"/>
      <c r="N12" s="38"/>
      <c r="O12" s="40"/>
      <c r="P12" s="39"/>
      <c r="Q12" s="41"/>
      <c r="R12" s="42"/>
      <c r="S12" s="1112"/>
      <c r="T12" s="1112"/>
      <c r="U12" s="1112"/>
      <c r="V12" s="1112"/>
      <c r="W12" s="1112"/>
      <c r="X12" s="1112"/>
      <c r="Y12" s="1111"/>
      <c r="Z12" s="56"/>
      <c r="AA12" s="32"/>
      <c r="AB12" s="610"/>
      <c r="AC12" s="7"/>
      <c r="AD12" s="7"/>
      <c r="AE12" s="7"/>
      <c r="AF12" s="7"/>
      <c r="AG12" s="7"/>
      <c r="AH12" s="7"/>
    </row>
    <row r="13" spans="1:34" ht="18" customHeight="1" thickBot="1">
      <c r="A13" s="780" t="s">
        <v>202</v>
      </c>
      <c r="B13" s="28"/>
      <c r="C13" s="28"/>
      <c r="D13" s="28"/>
      <c r="E13" s="28"/>
      <c r="F13" s="28"/>
      <c r="G13" s="219">
        <v>110</v>
      </c>
      <c r="H13" s="28"/>
      <c r="I13" s="140">
        <f>B25</f>
        <v>100</v>
      </c>
      <c r="J13" s="50"/>
      <c r="K13" s="1075">
        <f>G13*I13</f>
        <v>11000</v>
      </c>
      <c r="L13" s="1182"/>
      <c r="M13" s="1182"/>
      <c r="N13" s="1183"/>
      <c r="O13" s="1068">
        <f>AB95/B25</f>
        <v>126.02172999999999</v>
      </c>
      <c r="P13" s="1069"/>
      <c r="Q13" s="14"/>
      <c r="R13" s="52"/>
      <c r="S13" s="3"/>
      <c r="T13" s="710" t="s">
        <v>308</v>
      </c>
      <c r="U13" s="2"/>
      <c r="V13" s="538"/>
      <c r="W13" s="7"/>
      <c r="X13" s="7"/>
      <c r="Y13" s="610"/>
      <c r="Z13" s="699"/>
      <c r="AA13" s="7"/>
      <c r="AB13" s="610"/>
      <c r="AC13" s="7"/>
      <c r="AD13" s="7"/>
      <c r="AE13" s="7"/>
      <c r="AF13" s="7"/>
      <c r="AG13" s="7"/>
      <c r="AH13" s="7"/>
    </row>
    <row r="14" spans="1:34" ht="10.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49"/>
      <c r="K14" s="28"/>
      <c r="L14" s="28"/>
      <c r="M14" s="28"/>
      <c r="N14" s="28"/>
      <c r="O14" s="51"/>
      <c r="P14" s="27"/>
      <c r="Q14" s="14"/>
      <c r="R14" s="52"/>
      <c r="S14" s="3"/>
      <c r="T14" s="7"/>
      <c r="U14" s="7"/>
      <c r="Y14" s="56"/>
      <c r="Z14" s="56"/>
      <c r="AA14" s="41"/>
      <c r="AB14" s="707"/>
      <c r="AC14" s="7"/>
      <c r="AD14" s="7"/>
      <c r="AE14" s="7"/>
      <c r="AF14" s="7"/>
      <c r="AG14" s="7"/>
      <c r="AH14" s="7"/>
    </row>
    <row r="15" spans="1:34" ht="17.25" customHeight="1" thickBot="1">
      <c r="A15" s="769"/>
      <c r="B15" s="38"/>
      <c r="C15" s="38"/>
      <c r="D15" s="38"/>
      <c r="E15" s="38"/>
      <c r="F15" s="38"/>
      <c r="G15" s="38"/>
      <c r="H15" s="38"/>
      <c r="I15" s="3" t="s">
        <v>33</v>
      </c>
      <c r="J15" s="42"/>
      <c r="K15" s="45"/>
      <c r="L15" s="45"/>
      <c r="M15" s="45"/>
      <c r="N15" s="45"/>
      <c r="O15" s="1178">
        <f>O13*B25</f>
        <v>12602.172999999999</v>
      </c>
      <c r="P15" s="1179"/>
      <c r="Q15" s="1180"/>
      <c r="R15" s="1181"/>
      <c r="S15" s="3" t="s">
        <v>193</v>
      </c>
      <c r="T15" s="7"/>
      <c r="U15" s="7"/>
      <c r="V15" s="549"/>
      <c r="W15" s="711" t="s">
        <v>309</v>
      </c>
      <c r="Z15" s="56"/>
      <c r="AA15" s="66"/>
      <c r="AB15" s="704"/>
      <c r="AC15" s="7"/>
      <c r="AD15" s="7"/>
      <c r="AE15" s="7"/>
      <c r="AF15" s="7"/>
      <c r="AG15" s="7"/>
      <c r="AH15" s="7"/>
    </row>
    <row r="16" spans="1:34" hidden="1">
      <c r="A16" s="3"/>
      <c r="B16" s="3"/>
      <c r="C16" s="3"/>
      <c r="D16" s="3"/>
      <c r="E16" s="3"/>
      <c r="F16" s="3"/>
      <c r="G16" s="3"/>
      <c r="H16" s="3"/>
      <c r="I16" s="3"/>
      <c r="J16" s="3"/>
      <c r="K16" s="38"/>
      <c r="L16" s="38"/>
      <c r="M16" s="38"/>
      <c r="N16" s="38"/>
      <c r="O16" s="40"/>
      <c r="P16" s="39"/>
      <c r="Q16" s="41"/>
      <c r="R16" s="38"/>
      <c r="S16" s="3"/>
      <c r="T16" s="7"/>
      <c r="U16" s="7"/>
      <c r="Z16" s="32"/>
      <c r="AA16" s="32"/>
      <c r="AC16" s="7"/>
      <c r="AD16" s="7"/>
      <c r="AE16" s="7"/>
      <c r="AF16" s="7"/>
      <c r="AG16" s="7"/>
      <c r="AH16" s="7"/>
    </row>
    <row r="17" spans="1:34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7"/>
      <c r="V17" s="7"/>
      <c r="W17" s="7"/>
      <c r="X17" s="7"/>
      <c r="Y17" s="7"/>
      <c r="Z17" s="7"/>
      <c r="AA17" s="8"/>
      <c r="AB17" s="8"/>
      <c r="AC17" s="7"/>
      <c r="AD17" s="7"/>
      <c r="AE17" s="7"/>
      <c r="AF17" s="7"/>
      <c r="AG17" s="7"/>
      <c r="AH17" s="7"/>
    </row>
    <row r="18" spans="1:34" ht="12" customHeight="1">
      <c r="A18" s="26" t="s">
        <v>53</v>
      </c>
      <c r="B18" s="20"/>
      <c r="C18" s="65"/>
      <c r="D18" s="6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8" t="s">
        <v>41</v>
      </c>
      <c r="P18" s="14"/>
      <c r="Q18" s="14"/>
      <c r="R18" s="14"/>
      <c r="S18" s="28"/>
      <c r="T18" s="28"/>
      <c r="U18" s="14"/>
      <c r="V18" s="14"/>
      <c r="W18" s="14"/>
      <c r="X18" s="14"/>
      <c r="Y18" s="14"/>
      <c r="Z18" s="14"/>
      <c r="AA18" s="1047" t="s">
        <v>8</v>
      </c>
      <c r="AB18" s="1048"/>
      <c r="AC18" s="7"/>
      <c r="AD18" s="7"/>
      <c r="AE18" s="7"/>
      <c r="AF18" s="7"/>
      <c r="AG18" s="7"/>
      <c r="AH18" s="7"/>
    </row>
    <row r="19" spans="1:34" ht="10.5" customHeight="1">
      <c r="A19" s="144"/>
      <c r="B19" s="19"/>
      <c r="C19" s="805" t="s">
        <v>52</v>
      </c>
      <c r="D19" s="856"/>
      <c r="E19" s="1184" t="s">
        <v>239</v>
      </c>
      <c r="F19" s="1184"/>
      <c r="G19" s="1184"/>
      <c r="H19" s="1184"/>
      <c r="I19" s="1184"/>
      <c r="J19" s="1184"/>
      <c r="K19" s="1185"/>
      <c r="L19" s="857" t="s">
        <v>69</v>
      </c>
      <c r="M19" s="672"/>
      <c r="N19" s="1188" t="s">
        <v>16</v>
      </c>
      <c r="O19" s="1189"/>
      <c r="P19" s="1189"/>
      <c r="Q19" s="1189"/>
      <c r="R19" s="1189"/>
      <c r="S19" s="1189"/>
      <c r="T19" s="1190"/>
      <c r="U19" s="1189" t="s">
        <v>17</v>
      </c>
      <c r="V19" s="1189"/>
      <c r="W19" s="1189"/>
      <c r="X19" s="1189"/>
      <c r="Y19" s="1189"/>
      <c r="Z19" s="1189"/>
      <c r="AA19" s="1062" t="s">
        <v>3</v>
      </c>
      <c r="AB19" s="1059"/>
      <c r="AC19" s="7"/>
      <c r="AD19" s="7"/>
      <c r="AE19" s="7"/>
      <c r="AF19" s="7"/>
      <c r="AG19" s="7"/>
      <c r="AH19" s="7"/>
    </row>
    <row r="20" spans="1:34" ht="2.25" customHeight="1">
      <c r="A20" s="146"/>
      <c r="B20" s="5"/>
      <c r="C20" s="5" t="s">
        <v>51</v>
      </c>
      <c r="D20" s="602"/>
      <c r="E20" s="1186"/>
      <c r="F20" s="1186"/>
      <c r="G20" s="1186"/>
      <c r="H20" s="1186"/>
      <c r="I20" s="1186"/>
      <c r="J20" s="1186"/>
      <c r="K20" s="1187"/>
      <c r="L20" s="858"/>
      <c r="M20" s="673"/>
      <c r="N20" s="1191"/>
      <c r="O20" s="1192"/>
      <c r="P20" s="1192"/>
      <c r="Q20" s="1192"/>
      <c r="R20" s="1192"/>
      <c r="S20" s="1192"/>
      <c r="T20" s="1193"/>
      <c r="U20" s="1192"/>
      <c r="V20" s="1192"/>
      <c r="W20" s="1192"/>
      <c r="X20" s="1192"/>
      <c r="Y20" s="1192"/>
      <c r="Z20" s="1192"/>
      <c r="AA20" s="1047" t="s">
        <v>36</v>
      </c>
      <c r="AB20" s="1048"/>
      <c r="AC20" s="8"/>
      <c r="AD20" s="7"/>
      <c r="AE20" s="7"/>
      <c r="AF20" s="7"/>
      <c r="AG20" s="7"/>
      <c r="AH20" s="7"/>
    </row>
    <row r="21" spans="1:34" ht="10.5" customHeight="1">
      <c r="A21" s="146" t="s">
        <v>54</v>
      </c>
      <c r="B21" s="5"/>
      <c r="C21" s="70" t="s">
        <v>9</v>
      </c>
      <c r="D21" s="1101" t="s">
        <v>168</v>
      </c>
      <c r="E21" s="1081" t="s">
        <v>169</v>
      </c>
      <c r="F21" s="1041" t="s">
        <v>170</v>
      </c>
      <c r="G21" s="1096"/>
      <c r="H21" s="1041" t="s">
        <v>234</v>
      </c>
      <c r="I21" s="1038"/>
      <c r="J21" s="1044" t="s">
        <v>171</v>
      </c>
      <c r="K21" s="1035" t="s">
        <v>143</v>
      </c>
      <c r="L21" s="1041" t="s">
        <v>242</v>
      </c>
      <c r="M21" s="653"/>
      <c r="N21" s="1070" t="s">
        <v>140</v>
      </c>
      <c r="O21" s="1044" t="s">
        <v>106</v>
      </c>
      <c r="P21" s="1038"/>
      <c r="Q21" s="1035" t="s">
        <v>240</v>
      </c>
      <c r="R21" s="1038"/>
      <c r="S21" s="1041" t="s">
        <v>174</v>
      </c>
      <c r="T21" s="1044" t="s">
        <v>68</v>
      </c>
      <c r="U21" s="1041" t="s">
        <v>173</v>
      </c>
      <c r="V21" s="1041" t="s">
        <v>236</v>
      </c>
      <c r="W21" s="1153"/>
      <c r="X21" s="1044" t="s">
        <v>61</v>
      </c>
      <c r="Y21" s="1038" t="s">
        <v>70</v>
      </c>
      <c r="Z21" s="1211"/>
      <c r="AA21" s="24"/>
      <c r="AB21" s="23"/>
      <c r="AC21" s="7"/>
      <c r="AD21" s="7"/>
      <c r="AE21" s="7"/>
      <c r="AF21" s="7"/>
      <c r="AG21" s="7"/>
      <c r="AH21" s="7"/>
    </row>
    <row r="22" spans="1:34" ht="10.5" customHeight="1">
      <c r="A22" s="146"/>
      <c r="B22" s="5"/>
      <c r="C22" s="70" t="s">
        <v>10</v>
      </c>
      <c r="D22" s="1102"/>
      <c r="E22" s="1082"/>
      <c r="F22" s="1042"/>
      <c r="G22" s="1098"/>
      <c r="H22" s="1042"/>
      <c r="I22" s="1039"/>
      <c r="J22" s="1045"/>
      <c r="K22" s="1036"/>
      <c r="L22" s="1042"/>
      <c r="M22" s="654"/>
      <c r="N22" s="1071"/>
      <c r="O22" s="1045"/>
      <c r="P22" s="1039"/>
      <c r="Q22" s="1036"/>
      <c r="R22" s="1039"/>
      <c r="S22" s="1042"/>
      <c r="T22" s="1045"/>
      <c r="U22" s="1042"/>
      <c r="V22" s="1203"/>
      <c r="W22" s="1146"/>
      <c r="X22" s="1045"/>
      <c r="Y22" s="1039"/>
      <c r="Z22" s="1212"/>
      <c r="AA22" s="19" t="s">
        <v>6</v>
      </c>
      <c r="AB22" s="145" t="s">
        <v>4</v>
      </c>
      <c r="AC22" s="7"/>
      <c r="AD22" s="7"/>
      <c r="AE22" s="7"/>
      <c r="AF22" s="7"/>
      <c r="AG22" s="7"/>
      <c r="AH22" s="7"/>
    </row>
    <row r="23" spans="1:34" ht="93.75" customHeight="1">
      <c r="A23" s="152"/>
      <c r="B23" s="4"/>
      <c r="C23" s="71"/>
      <c r="D23" s="1103"/>
      <c r="E23" s="1083"/>
      <c r="F23" s="1043"/>
      <c r="G23" s="1100"/>
      <c r="H23" s="1043"/>
      <c r="I23" s="1040"/>
      <c r="J23" s="1046"/>
      <c r="K23" s="1037"/>
      <c r="L23" s="1043"/>
      <c r="M23" s="655" t="s">
        <v>238</v>
      </c>
      <c r="N23" s="1072"/>
      <c r="O23" s="1046"/>
      <c r="P23" s="1040"/>
      <c r="Q23" s="1037"/>
      <c r="R23" s="1040"/>
      <c r="S23" s="1043"/>
      <c r="T23" s="1046"/>
      <c r="U23" s="1043"/>
      <c r="V23" s="1204"/>
      <c r="W23" s="1131"/>
      <c r="X23" s="1046"/>
      <c r="Y23" s="1040"/>
      <c r="Z23" s="1213"/>
      <c r="AA23" s="4" t="s">
        <v>7</v>
      </c>
      <c r="AB23" s="151" t="s">
        <v>5</v>
      </c>
      <c r="AC23" s="7"/>
      <c r="AD23" s="7"/>
      <c r="AE23" s="7"/>
      <c r="AF23" s="7"/>
      <c r="AG23" s="7"/>
      <c r="AH23" s="7"/>
    </row>
    <row r="24" spans="1:34" ht="11.25" customHeight="1">
      <c r="A24" s="64">
        <v>1</v>
      </c>
      <c r="B24" s="34">
        <v>2</v>
      </c>
      <c r="C24" s="72">
        <v>3</v>
      </c>
      <c r="D24" s="76">
        <v>4</v>
      </c>
      <c r="E24" s="80">
        <v>5</v>
      </c>
      <c r="F24" s="86">
        <v>6</v>
      </c>
      <c r="G24" s="76">
        <v>7</v>
      </c>
      <c r="H24" s="87">
        <v>8</v>
      </c>
      <c r="I24" s="80">
        <v>9</v>
      </c>
      <c r="J24" s="81">
        <v>10</v>
      </c>
      <c r="K24" s="96">
        <v>11</v>
      </c>
      <c r="L24" s="96">
        <v>12</v>
      </c>
      <c r="M24" s="96">
        <v>13</v>
      </c>
      <c r="N24" s="81">
        <v>14</v>
      </c>
      <c r="O24" s="81">
        <v>15</v>
      </c>
      <c r="P24" s="80">
        <v>14</v>
      </c>
      <c r="Q24" s="97">
        <v>16</v>
      </c>
      <c r="R24" s="93">
        <v>17</v>
      </c>
      <c r="S24" s="96">
        <v>18</v>
      </c>
      <c r="T24" s="98">
        <v>19</v>
      </c>
      <c r="U24" s="80">
        <v>20</v>
      </c>
      <c r="V24" s="80">
        <v>21</v>
      </c>
      <c r="W24" s="96">
        <v>22</v>
      </c>
      <c r="X24" s="81">
        <v>23</v>
      </c>
      <c r="Y24" s="96">
        <v>24</v>
      </c>
      <c r="Z24" s="82">
        <v>23</v>
      </c>
      <c r="AA24" s="35">
        <v>25</v>
      </c>
      <c r="AB24" s="36">
        <v>26</v>
      </c>
      <c r="AC24" s="7"/>
      <c r="AD24" s="7"/>
      <c r="AE24" s="7"/>
      <c r="AF24" s="7"/>
      <c r="AG24" s="7"/>
      <c r="AH24" s="7"/>
    </row>
    <row r="25" spans="1:34" ht="15.95" customHeight="1" thickBot="1">
      <c r="A25" s="16" t="s">
        <v>18</v>
      </c>
      <c r="B25" s="221">
        <v>100</v>
      </c>
      <c r="C25" s="73"/>
      <c r="D25" s="781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471">
        <f>B25</f>
        <v>100</v>
      </c>
      <c r="K25" s="99">
        <f>B25</f>
        <v>100</v>
      </c>
      <c r="L25" s="99">
        <f>B25</f>
        <v>100</v>
      </c>
      <c r="M25" s="99">
        <f>B25</f>
        <v>100</v>
      </c>
      <c r="N25" s="99">
        <f>B25</f>
        <v>100</v>
      </c>
      <c r="O25" s="160">
        <f>B25</f>
        <v>100</v>
      </c>
      <c r="P25" s="303"/>
      <c r="Q25" s="109">
        <f>F25</f>
        <v>100</v>
      </c>
      <c r="R25" s="99">
        <f>B25</f>
        <v>100</v>
      </c>
      <c r="S25" s="99">
        <f>B25</f>
        <v>100</v>
      </c>
      <c r="T25" s="99">
        <f>B25</f>
        <v>100</v>
      </c>
      <c r="U25" s="99">
        <f>B25</f>
        <v>100</v>
      </c>
      <c r="V25" s="466">
        <f>F25</f>
        <v>100</v>
      </c>
      <c r="W25" s="99">
        <f>B25</f>
        <v>100</v>
      </c>
      <c r="X25" s="99">
        <f>B25</f>
        <v>100</v>
      </c>
      <c r="Y25" s="99">
        <f>B25</f>
        <v>100</v>
      </c>
      <c r="Z25" s="83"/>
      <c r="AA25" s="12" t="s">
        <v>66</v>
      </c>
      <c r="AB25" s="68" t="s">
        <v>64</v>
      </c>
      <c r="AC25" s="7"/>
      <c r="AD25" s="7"/>
      <c r="AE25" s="7"/>
      <c r="AF25" s="7"/>
      <c r="AG25" s="7"/>
    </row>
    <row r="26" spans="1:34" ht="15.95" customHeight="1" thickBot="1">
      <c r="A26" s="59" t="s">
        <v>19</v>
      </c>
      <c r="B26" s="60"/>
      <c r="C26" s="74"/>
      <c r="D26" s="611">
        <v>25</v>
      </c>
      <c r="E26" s="119">
        <f>D26*F25/B25</f>
        <v>25</v>
      </c>
      <c r="F26" s="91">
        <v>200</v>
      </c>
      <c r="G26" s="119">
        <f>F26*F25/B25</f>
        <v>200</v>
      </c>
      <c r="H26" s="91">
        <v>180</v>
      </c>
      <c r="I26" s="119">
        <f>H26*H25/B25</f>
        <v>180</v>
      </c>
      <c r="J26" s="643">
        <f>J72/B25*1000</f>
        <v>20</v>
      </c>
      <c r="K26" s="119">
        <f>K46/B25*1000</f>
        <v>30</v>
      </c>
      <c r="L26" s="119">
        <f>L86/B25*1000</f>
        <v>180</v>
      </c>
      <c r="M26" s="119">
        <v>50</v>
      </c>
      <c r="N26" s="119">
        <v>200</v>
      </c>
      <c r="O26" s="279">
        <v>130</v>
      </c>
      <c r="P26" s="302"/>
      <c r="Q26" s="973">
        <v>70</v>
      </c>
      <c r="R26" s="119">
        <f>Q26*Q25/B25</f>
        <v>70</v>
      </c>
      <c r="S26" s="100">
        <v>180</v>
      </c>
      <c r="T26" s="119">
        <f>T74/B25*1000</f>
        <v>40</v>
      </c>
      <c r="U26" s="119">
        <v>20</v>
      </c>
      <c r="V26" s="465">
        <v>100</v>
      </c>
      <c r="W26" s="119">
        <f>V26*F25/B25</f>
        <v>100</v>
      </c>
      <c r="X26" s="119">
        <f>X78/B25/1.028*1000</f>
        <v>179.96108949416342</v>
      </c>
      <c r="Y26" s="119">
        <f>Y76/B25*1000</f>
        <v>20</v>
      </c>
      <c r="Z26" s="84"/>
      <c r="AA26" s="61"/>
      <c r="AB26" s="69"/>
      <c r="AC26" s="7"/>
      <c r="AD26" s="7"/>
      <c r="AE26" s="7"/>
      <c r="AF26" s="7"/>
      <c r="AG26" s="7"/>
    </row>
    <row r="27" spans="1:34" ht="15" customHeight="1" thickTop="1">
      <c r="A27" s="133"/>
      <c r="B27" s="5" t="s">
        <v>65</v>
      </c>
      <c r="C27" s="77" t="s">
        <v>72</v>
      </c>
      <c r="D27" s="293"/>
      <c r="E27" s="88"/>
      <c r="F27" s="92"/>
      <c r="G27" s="88"/>
      <c r="H27" s="108"/>
      <c r="I27" s="88"/>
      <c r="J27" s="608"/>
      <c r="K27" s="88"/>
      <c r="L27" s="88"/>
      <c r="M27" s="88"/>
      <c r="N27" s="88"/>
      <c r="O27" s="88"/>
      <c r="P27" s="88"/>
      <c r="Q27" s="108">
        <f>93.1/70*Q26</f>
        <v>93.1</v>
      </c>
      <c r="R27" s="129">
        <f>Q27/Q26*R26</f>
        <v>93.1</v>
      </c>
      <c r="S27" s="88"/>
      <c r="T27" s="88"/>
      <c r="U27" s="88"/>
      <c r="V27" s="113"/>
      <c r="W27" s="88"/>
      <c r="X27" s="88"/>
      <c r="Y27" s="88"/>
      <c r="Z27" s="85"/>
      <c r="AA27" s="78"/>
      <c r="AB27" s="79"/>
      <c r="AC27" s="7"/>
      <c r="AD27" s="7"/>
      <c r="AE27" s="7"/>
      <c r="AF27" s="7"/>
      <c r="AG27" s="7"/>
    </row>
    <row r="28" spans="1:34" ht="15.75" customHeight="1" thickBot="1">
      <c r="A28" s="346" t="s">
        <v>111</v>
      </c>
      <c r="B28" s="347">
        <v>210</v>
      </c>
      <c r="C28" s="348" t="s">
        <v>73</v>
      </c>
      <c r="D28" s="423"/>
      <c r="E28" s="350"/>
      <c r="F28" s="363"/>
      <c r="G28" s="350"/>
      <c r="H28" s="349"/>
      <c r="I28" s="350"/>
      <c r="J28" s="569"/>
      <c r="K28" s="350"/>
      <c r="L28" s="350"/>
      <c r="M28" s="350"/>
      <c r="N28" s="350"/>
      <c r="O28" s="350"/>
      <c r="P28" s="350"/>
      <c r="Q28" s="468">
        <f>Q27*Q25/1000</f>
        <v>9.31</v>
      </c>
      <c r="R28" s="366">
        <f>Q28</f>
        <v>9.31</v>
      </c>
      <c r="S28" s="350"/>
      <c r="T28" s="350"/>
      <c r="U28" s="350"/>
      <c r="V28" s="350"/>
      <c r="W28" s="350"/>
      <c r="X28" s="350"/>
      <c r="Y28" s="350"/>
      <c r="Z28" s="382"/>
      <c r="AA28" s="356">
        <f>ROUND(E28+G28+I28+J28+K28+L28+M28+N28+O28+R28+S28+T28+U28+W28+X28++Y28,3)</f>
        <v>9.31</v>
      </c>
      <c r="AB28" s="368">
        <f>AA28*B28</f>
        <v>1955.1000000000001</v>
      </c>
      <c r="AC28" s="7"/>
      <c r="AD28" s="230">
        <f>AA28+AA127</f>
        <v>17.28</v>
      </c>
      <c r="AE28" s="7" t="str">
        <f>A28</f>
        <v>Цыплята бройл.</v>
      </c>
      <c r="AF28" s="7"/>
      <c r="AG28" s="7"/>
    </row>
    <row r="29" spans="1:34" ht="12" customHeight="1" thickTop="1">
      <c r="A29" s="133"/>
      <c r="B29" s="121"/>
      <c r="C29" s="77" t="s">
        <v>72</v>
      </c>
      <c r="D29" s="293"/>
      <c r="E29" s="88"/>
      <c r="F29" s="90"/>
      <c r="G29" s="88"/>
      <c r="H29" s="108"/>
      <c r="I29" s="88"/>
      <c r="J29" s="608"/>
      <c r="K29" s="88"/>
      <c r="L29" s="88"/>
      <c r="M29" s="88"/>
      <c r="N29" s="88"/>
      <c r="O29" s="88"/>
      <c r="P29" s="129"/>
      <c r="Q29" s="108"/>
      <c r="R29" s="129"/>
      <c r="S29" s="88"/>
      <c r="T29" s="88"/>
      <c r="U29" s="88"/>
      <c r="V29" s="113">
        <v>76</v>
      </c>
      <c r="W29" s="129">
        <f>V29/V26*W26</f>
        <v>76</v>
      </c>
      <c r="X29" s="88"/>
      <c r="Y29" s="88"/>
      <c r="Z29" s="85"/>
      <c r="AA29" s="125"/>
      <c r="AB29" s="123"/>
      <c r="AC29" s="7"/>
      <c r="AD29" s="224"/>
      <c r="AE29" s="7"/>
      <c r="AF29" s="7"/>
      <c r="AG29" s="7"/>
    </row>
    <row r="30" spans="1:34" ht="15.75" customHeight="1" thickBot="1">
      <c r="A30" s="346" t="s">
        <v>21</v>
      </c>
      <c r="B30" s="347">
        <v>319.5</v>
      </c>
      <c r="C30" s="348" t="s">
        <v>73</v>
      </c>
      <c r="D30" s="423"/>
      <c r="E30" s="350"/>
      <c r="F30" s="363"/>
      <c r="G30" s="350"/>
      <c r="H30" s="349"/>
      <c r="I30" s="350"/>
      <c r="J30" s="569"/>
      <c r="K30" s="350"/>
      <c r="L30" s="350"/>
      <c r="M30" s="350"/>
      <c r="N30" s="350"/>
      <c r="O30" s="378"/>
      <c r="P30" s="350"/>
      <c r="Q30" s="349"/>
      <c r="R30" s="341"/>
      <c r="S30" s="350"/>
      <c r="T30" s="350"/>
      <c r="U30" s="341"/>
      <c r="V30" s="378">
        <f>V29*F25/1000</f>
        <v>7.6</v>
      </c>
      <c r="W30" s="341">
        <f>V30</f>
        <v>7.6</v>
      </c>
      <c r="X30" s="350"/>
      <c r="Y30" s="350"/>
      <c r="Z30" s="382"/>
      <c r="AA30" s="343">
        <f>ROUND(E30+G30+I30+J30+K30+L30+M30+N30+O30+R30+S30+T30+U30+W30+X30++Y30,2)</f>
        <v>7.6</v>
      </c>
      <c r="AB30" s="344">
        <f>AA30*B30</f>
        <v>2428.1999999999998</v>
      </c>
      <c r="AC30" s="7"/>
      <c r="AD30" s="229">
        <f>AA30+AA129</f>
        <v>13.68</v>
      </c>
      <c r="AE30" s="7" t="str">
        <f>A30</f>
        <v>Творог</v>
      </c>
      <c r="AF30" s="7"/>
      <c r="AG30" s="7"/>
    </row>
    <row r="31" spans="1:34" ht="13.5" customHeight="1" thickTop="1">
      <c r="A31" s="133"/>
      <c r="B31" s="121"/>
      <c r="C31" s="77" t="s">
        <v>72</v>
      </c>
      <c r="D31" s="293">
        <v>5</v>
      </c>
      <c r="E31" s="129">
        <f>D31/D26*E26</f>
        <v>5</v>
      </c>
      <c r="F31" s="430">
        <v>2</v>
      </c>
      <c r="G31" s="129">
        <f>F31/F26*G26</f>
        <v>2</v>
      </c>
      <c r="H31" s="108"/>
      <c r="I31" s="88"/>
      <c r="J31" s="608"/>
      <c r="K31" s="88"/>
      <c r="L31" s="88"/>
      <c r="M31" s="88"/>
      <c r="N31" s="131"/>
      <c r="O31" s="131">
        <v>2.2999999999999998</v>
      </c>
      <c r="P31" s="113"/>
      <c r="Q31" s="177"/>
      <c r="R31" s="129"/>
      <c r="S31" s="88"/>
      <c r="T31" s="88"/>
      <c r="U31" s="131">
        <v>0.9</v>
      </c>
      <c r="V31" s="113">
        <f>3/100*V26</f>
        <v>3</v>
      </c>
      <c r="W31" s="129">
        <f>V31/V26*W26</f>
        <v>3</v>
      </c>
      <c r="X31" s="88"/>
      <c r="Y31" s="88"/>
      <c r="Z31" s="85"/>
      <c r="AA31" s="125"/>
      <c r="AB31" s="123"/>
      <c r="AC31" s="7"/>
      <c r="AD31" s="224"/>
      <c r="AE31" s="7"/>
      <c r="AF31" s="7"/>
      <c r="AG31" s="7"/>
      <c r="AH31" s="624"/>
    </row>
    <row r="32" spans="1:34" ht="16.5" customHeight="1" thickBot="1">
      <c r="A32" s="346" t="s">
        <v>79</v>
      </c>
      <c r="B32" s="347">
        <v>595</v>
      </c>
      <c r="C32" s="348" t="s">
        <v>73</v>
      </c>
      <c r="D32" s="423">
        <f>D31*F25/1000</f>
        <v>0.5</v>
      </c>
      <c r="E32" s="341">
        <f>ROUND(E31*E25/1000,2)</f>
        <v>0.5</v>
      </c>
      <c r="F32" s="363">
        <f>ROUND(F31*F25/1000,2)</f>
        <v>0.2</v>
      </c>
      <c r="G32" s="341">
        <f>ROUND(F32,2)</f>
        <v>0.2</v>
      </c>
      <c r="H32" s="349"/>
      <c r="I32" s="350"/>
      <c r="J32" s="569"/>
      <c r="K32" s="350"/>
      <c r="L32" s="350"/>
      <c r="M32" s="350"/>
      <c r="N32" s="383">
        <f>ROUND(N31*B25/1000,2)</f>
        <v>0</v>
      </c>
      <c r="O32" s="383">
        <f>ROUND(O31*B25/1000,2)</f>
        <v>0.23</v>
      </c>
      <c r="P32" s="350"/>
      <c r="Q32" s="349"/>
      <c r="R32" s="341"/>
      <c r="S32" s="350"/>
      <c r="T32" s="350"/>
      <c r="U32" s="341">
        <f>ROUND(U31*U25/1000,2)</f>
        <v>0.09</v>
      </c>
      <c r="V32" s="378">
        <f>V31*F25/1000</f>
        <v>0.3</v>
      </c>
      <c r="W32" s="341">
        <f>V32</f>
        <v>0.3</v>
      </c>
      <c r="X32" s="350"/>
      <c r="Y32" s="350"/>
      <c r="Z32" s="382"/>
      <c r="AA32" s="343">
        <f>ROUND(E32+G32+I32+J32+K32+L32+M32+N32+O32+R32+S32+T32+U32+W32+X32++Y32,2)</f>
        <v>1.32</v>
      </c>
      <c r="AB32" s="344">
        <f>AA32*B32</f>
        <v>785.40000000000009</v>
      </c>
      <c r="AC32" s="7"/>
      <c r="AD32" s="229">
        <f>AA32+AA131</f>
        <v>2.5</v>
      </c>
      <c r="AE32" s="7" t="str">
        <f>A32</f>
        <v>Масло слив.</v>
      </c>
      <c r="AF32" s="7"/>
      <c r="AG32" s="7"/>
      <c r="AH32" s="7"/>
    </row>
    <row r="33" spans="1:34" ht="12" customHeight="1" thickTop="1">
      <c r="A33" s="133"/>
      <c r="B33" s="121"/>
      <c r="C33" s="77" t="s">
        <v>72</v>
      </c>
      <c r="D33" s="293"/>
      <c r="E33" s="88"/>
      <c r="F33" s="430"/>
      <c r="G33" s="88"/>
      <c r="H33" s="108"/>
      <c r="I33" s="88"/>
      <c r="J33" s="608"/>
      <c r="K33" s="88"/>
      <c r="L33" s="88"/>
      <c r="M33" s="131">
        <v>2.5</v>
      </c>
      <c r="N33" s="131">
        <v>2</v>
      </c>
      <c r="O33" s="131">
        <v>3.9</v>
      </c>
      <c r="P33" s="88"/>
      <c r="Q33" s="177">
        <f>2/70*Q26</f>
        <v>2</v>
      </c>
      <c r="R33" s="129">
        <f>Q33/Q26*R26</f>
        <v>2</v>
      </c>
      <c r="S33" s="88"/>
      <c r="T33" s="88"/>
      <c r="U33" s="131"/>
      <c r="V33" s="113"/>
      <c r="W33" s="129"/>
      <c r="X33" s="88"/>
      <c r="Y33" s="88"/>
      <c r="Z33" s="85"/>
      <c r="AA33" s="125"/>
      <c r="AB33" s="123"/>
      <c r="AC33" s="7"/>
      <c r="AD33" s="224"/>
      <c r="AE33" s="7"/>
      <c r="AF33" s="7"/>
      <c r="AG33" s="7"/>
      <c r="AH33" s="7"/>
    </row>
    <row r="34" spans="1:34" ht="15.75" customHeight="1" thickBot="1">
      <c r="A34" s="346" t="s">
        <v>78</v>
      </c>
      <c r="B34" s="347">
        <v>104.42</v>
      </c>
      <c r="C34" s="348" t="s">
        <v>73</v>
      </c>
      <c r="D34" s="423"/>
      <c r="E34" s="350"/>
      <c r="F34" s="363"/>
      <c r="G34" s="350"/>
      <c r="H34" s="349"/>
      <c r="I34" s="350"/>
      <c r="J34" s="569"/>
      <c r="K34" s="350"/>
      <c r="L34" s="350"/>
      <c r="M34" s="341">
        <f>M33*B25/1000</f>
        <v>0.25</v>
      </c>
      <c r="N34" s="341">
        <f>N33*B25/1000</f>
        <v>0.2</v>
      </c>
      <c r="O34" s="341">
        <f>ROUND(O33*B25/1000,2)</f>
        <v>0.39</v>
      </c>
      <c r="P34" s="350"/>
      <c r="Q34" s="349">
        <f>Q33*Q25/1000</f>
        <v>0.2</v>
      </c>
      <c r="R34" s="341">
        <f>ROUND(Q34,2)</f>
        <v>0.2</v>
      </c>
      <c r="S34" s="350"/>
      <c r="T34" s="350"/>
      <c r="U34" s="350"/>
      <c r="V34" s="378"/>
      <c r="W34" s="350"/>
      <c r="X34" s="350"/>
      <c r="Y34" s="350"/>
      <c r="Z34" s="382"/>
      <c r="AA34" s="343">
        <f>ROUND(E34+G34+I34+J34+K34+L34+M34+N34+O34+R34+S34+T34+U34+W34+X34++Y34,2)</f>
        <v>1.04</v>
      </c>
      <c r="AB34" s="344">
        <f>AA34*B34</f>
        <v>108.5968</v>
      </c>
      <c r="AC34" s="7"/>
      <c r="AD34" s="229">
        <f>AA34+AA133</f>
        <v>1.87</v>
      </c>
      <c r="AE34" s="7" t="str">
        <f>A34</f>
        <v>Масло раст.</v>
      </c>
      <c r="AF34" s="7"/>
      <c r="AG34" s="7"/>
      <c r="AH34" s="7"/>
    </row>
    <row r="35" spans="1:34" ht="14.25" customHeight="1" thickTop="1">
      <c r="A35" s="133"/>
      <c r="B35" s="121"/>
      <c r="C35" s="77" t="s">
        <v>72</v>
      </c>
      <c r="D35" s="293"/>
      <c r="E35" s="88"/>
      <c r="F35" s="430">
        <v>140</v>
      </c>
      <c r="G35" s="113">
        <f>F35/F26*G26</f>
        <v>140</v>
      </c>
      <c r="H35" s="108"/>
      <c r="I35" s="129"/>
      <c r="J35" s="608"/>
      <c r="K35" s="88"/>
      <c r="L35" s="114"/>
      <c r="M35" s="88"/>
      <c r="N35" s="131"/>
      <c r="O35" s="88"/>
      <c r="P35" s="88"/>
      <c r="Q35" s="177">
        <f>12/70*Q26</f>
        <v>12</v>
      </c>
      <c r="R35" s="129">
        <f>Q35/Q26*R26</f>
        <v>12</v>
      </c>
      <c r="S35" s="88"/>
      <c r="T35" s="88"/>
      <c r="U35" s="131">
        <v>10</v>
      </c>
      <c r="V35" s="113"/>
      <c r="W35" s="131"/>
      <c r="X35" s="131"/>
      <c r="Y35" s="88"/>
      <c r="Z35" s="85"/>
      <c r="AA35" s="125"/>
      <c r="AB35" s="123"/>
      <c r="AC35" s="7"/>
      <c r="AD35" s="224"/>
      <c r="AE35" s="7"/>
      <c r="AF35" s="7"/>
      <c r="AG35" s="7"/>
      <c r="AH35" s="7"/>
    </row>
    <row r="36" spans="1:34" ht="15.95" customHeight="1" thickBot="1">
      <c r="A36" s="346" t="s">
        <v>81</v>
      </c>
      <c r="B36" s="347">
        <v>67.8</v>
      </c>
      <c r="C36" s="348" t="s">
        <v>73</v>
      </c>
      <c r="D36" s="423"/>
      <c r="E36" s="350"/>
      <c r="F36" s="363">
        <f>F35*F25/1000</f>
        <v>14</v>
      </c>
      <c r="G36" s="786">
        <f>F36</f>
        <v>14</v>
      </c>
      <c r="H36" s="349"/>
      <c r="I36" s="350"/>
      <c r="J36" s="569"/>
      <c r="K36" s="350"/>
      <c r="L36" s="814"/>
      <c r="M36" s="350"/>
      <c r="N36" s="341"/>
      <c r="O36" s="350"/>
      <c r="P36" s="350"/>
      <c r="Q36" s="349">
        <f>Q35*F25/1000</f>
        <v>1.2</v>
      </c>
      <c r="R36" s="365">
        <f>Q36</f>
        <v>1.2</v>
      </c>
      <c r="S36" s="350"/>
      <c r="T36" s="350"/>
      <c r="U36" s="366">
        <f>ROUND(U35*U25/1000,2)</f>
        <v>1</v>
      </c>
      <c r="V36" s="350"/>
      <c r="W36" s="350"/>
      <c r="X36" s="341"/>
      <c r="Y36" s="350"/>
      <c r="Z36" s="382"/>
      <c r="AA36" s="356">
        <f>ROUND(E36+G36+I36+J36+K36+L36+M36+N36+O36+R36+S36+T36+U36+W36+X36++Y36,3)</f>
        <v>16.2</v>
      </c>
      <c r="AB36" s="344">
        <f>AA36*B36</f>
        <v>1098.3599999999999</v>
      </c>
      <c r="AC36" s="7"/>
      <c r="AD36" s="230">
        <f>AA36+AA135</f>
        <v>28.729999999999997</v>
      </c>
      <c r="AE36" s="7" t="str">
        <f>A36</f>
        <v>Молоко св.</v>
      </c>
      <c r="AF36" s="7"/>
      <c r="AG36" s="7"/>
      <c r="AH36" s="7"/>
    </row>
    <row r="37" spans="1:34" ht="13.5" customHeight="1" thickTop="1">
      <c r="A37" s="133"/>
      <c r="B37" s="121"/>
      <c r="C37" s="77" t="s">
        <v>72</v>
      </c>
      <c r="D37" s="293"/>
      <c r="E37" s="88"/>
      <c r="F37" s="430">
        <v>16</v>
      </c>
      <c r="G37" s="113">
        <f>F37/F26*G26</f>
        <v>16</v>
      </c>
      <c r="H37" s="108"/>
      <c r="I37" s="88"/>
      <c r="J37" s="608"/>
      <c r="K37" s="88"/>
      <c r="L37" s="88"/>
      <c r="M37" s="88"/>
      <c r="N37" s="88"/>
      <c r="O37" s="88"/>
      <c r="P37" s="129"/>
      <c r="Q37" s="90"/>
      <c r="R37" s="129"/>
      <c r="S37" s="88"/>
      <c r="T37" s="88"/>
      <c r="U37" s="88"/>
      <c r="V37" s="113"/>
      <c r="W37" s="88"/>
      <c r="X37" s="88"/>
      <c r="Y37" s="88"/>
      <c r="Z37" s="85"/>
      <c r="AA37" s="125"/>
      <c r="AB37" s="123"/>
      <c r="AC37" s="7"/>
      <c r="AD37" s="224"/>
      <c r="AE37" s="7"/>
      <c r="AF37" s="7"/>
      <c r="AG37" s="7"/>
      <c r="AH37" s="7"/>
    </row>
    <row r="38" spans="1:34" ht="15.95" customHeight="1" thickBot="1">
      <c r="A38" s="346" t="s">
        <v>110</v>
      </c>
      <c r="B38" s="347">
        <v>42.1</v>
      </c>
      <c r="C38" s="348" t="s">
        <v>73</v>
      </c>
      <c r="D38" s="423"/>
      <c r="E38" s="350"/>
      <c r="F38" s="363">
        <f>F37*F25/1000</f>
        <v>1.6</v>
      </c>
      <c r="G38" s="341">
        <f>F38</f>
        <v>1.6</v>
      </c>
      <c r="H38" s="349"/>
      <c r="I38" s="350"/>
      <c r="J38" s="569"/>
      <c r="K38" s="350"/>
      <c r="L38" s="350"/>
      <c r="M38" s="350"/>
      <c r="N38" s="350"/>
      <c r="O38" s="350"/>
      <c r="P38" s="341"/>
      <c r="Q38" s="363"/>
      <c r="R38" s="350"/>
      <c r="S38" s="350"/>
      <c r="T38" s="350"/>
      <c r="U38" s="350"/>
      <c r="V38" s="350"/>
      <c r="W38" s="350"/>
      <c r="X38" s="350"/>
      <c r="Y38" s="350"/>
      <c r="Z38" s="382"/>
      <c r="AA38" s="343">
        <f>ROUND(E38+G38+I38+J38+K38+L38+M38+N38+O38+R38+S38+T38+U38+W38+X38++Y38,2)</f>
        <v>1.6</v>
      </c>
      <c r="AB38" s="344">
        <f>AA38*B38</f>
        <v>67.36</v>
      </c>
      <c r="AC38" s="7"/>
      <c r="AD38" s="229">
        <f>AA38+AA137</f>
        <v>2.8</v>
      </c>
      <c r="AE38" s="7" t="str">
        <f>A38</f>
        <v>Вермишель</v>
      </c>
      <c r="AF38" s="7"/>
      <c r="AG38" s="7"/>
      <c r="AH38" s="7"/>
    </row>
    <row r="39" spans="1:34" ht="12" customHeight="1" thickTop="1">
      <c r="A39" s="133"/>
      <c r="B39" s="121"/>
      <c r="C39" s="77" t="s">
        <v>72</v>
      </c>
      <c r="D39" s="293"/>
      <c r="E39" s="88"/>
      <c r="F39" s="430"/>
      <c r="G39" s="129"/>
      <c r="H39" s="108"/>
      <c r="I39" s="88"/>
      <c r="J39" s="608"/>
      <c r="K39" s="88"/>
      <c r="L39" s="88"/>
      <c r="M39" s="88"/>
      <c r="N39" s="131"/>
      <c r="O39" s="88"/>
      <c r="P39" s="88"/>
      <c r="Q39" s="90"/>
      <c r="R39" s="129"/>
      <c r="S39" s="88"/>
      <c r="T39" s="88"/>
      <c r="U39" s="88"/>
      <c r="V39" s="113">
        <f>6/100*V26</f>
        <v>6</v>
      </c>
      <c r="W39" s="129">
        <f>V39/V26*W26</f>
        <v>6</v>
      </c>
      <c r="X39" s="88"/>
      <c r="Y39" s="88"/>
      <c r="Z39" s="85"/>
      <c r="AA39" s="125"/>
      <c r="AB39" s="123"/>
      <c r="AC39" s="7"/>
      <c r="AD39" s="224"/>
      <c r="AE39" s="7"/>
      <c r="AF39" s="7"/>
      <c r="AG39" s="7"/>
      <c r="AH39" s="7"/>
    </row>
    <row r="40" spans="1:34" ht="16.5" customHeight="1" thickBot="1">
      <c r="A40" s="346" t="s">
        <v>22</v>
      </c>
      <c r="B40" s="347">
        <v>10</v>
      </c>
      <c r="C40" s="348" t="s">
        <v>74</v>
      </c>
      <c r="D40" s="423"/>
      <c r="E40" s="350"/>
      <c r="F40" s="530"/>
      <c r="G40" s="386"/>
      <c r="H40" s="531"/>
      <c r="I40" s="386"/>
      <c r="J40" s="666"/>
      <c r="K40" s="386"/>
      <c r="L40" s="386"/>
      <c r="M40" s="386"/>
      <c r="N40" s="470"/>
      <c r="O40" s="386"/>
      <c r="P40" s="386"/>
      <c r="Q40" s="532"/>
      <c r="R40" s="386"/>
      <c r="S40" s="386"/>
      <c r="T40" s="386"/>
      <c r="U40" s="386"/>
      <c r="V40" s="534">
        <f>ROUND(V39*F25/1000/0.048,0)</f>
        <v>13</v>
      </c>
      <c r="W40" s="470">
        <f>V40</f>
        <v>13</v>
      </c>
      <c r="X40" s="350"/>
      <c r="Y40" s="350"/>
      <c r="Z40" s="360"/>
      <c r="AA40" s="472">
        <f>ROUND(E40+G40+I40+J40+K40+L40+M40+N40+O40+R40+S40+T40+U40+W40+X40++Y40,0)</f>
        <v>13</v>
      </c>
      <c r="AB40" s="344">
        <f>AA40*B40</f>
        <v>130</v>
      </c>
      <c r="AC40" s="7"/>
      <c r="AD40" s="474">
        <f>AA40+AA139</f>
        <v>23</v>
      </c>
      <c r="AE40" s="7" t="str">
        <f>A40</f>
        <v>Яйцо</v>
      </c>
      <c r="AF40" s="7"/>
      <c r="AG40" s="7"/>
      <c r="AH40" s="7"/>
    </row>
    <row r="41" spans="1:34" ht="12" customHeight="1" thickTop="1">
      <c r="A41" s="133"/>
      <c r="B41" s="121"/>
      <c r="C41" s="77" t="s">
        <v>72</v>
      </c>
      <c r="D41" s="293"/>
      <c r="E41" s="88"/>
      <c r="F41" s="430"/>
      <c r="G41" s="129"/>
      <c r="H41" s="108"/>
      <c r="I41" s="88"/>
      <c r="J41" s="608"/>
      <c r="K41" s="88"/>
      <c r="L41" s="88"/>
      <c r="M41" s="88"/>
      <c r="N41" s="131"/>
      <c r="O41" s="131">
        <v>1.8</v>
      </c>
      <c r="P41" s="88"/>
      <c r="Q41" s="108">
        <f>7.8/70*Q26</f>
        <v>7.8000000000000007</v>
      </c>
      <c r="R41" s="129">
        <f>Q41/Q26*R26</f>
        <v>7.8000000000000007</v>
      </c>
      <c r="S41" s="88"/>
      <c r="T41" s="88"/>
      <c r="U41" s="131">
        <v>0.9</v>
      </c>
      <c r="V41" s="113"/>
      <c r="W41" s="129"/>
      <c r="X41" s="88"/>
      <c r="Y41" s="88"/>
      <c r="Z41" s="85"/>
      <c r="AA41" s="125"/>
      <c r="AB41" s="123"/>
      <c r="AC41" s="7"/>
      <c r="AD41" s="224"/>
      <c r="AE41" s="7"/>
      <c r="AF41" s="7"/>
      <c r="AG41" s="7"/>
      <c r="AH41" s="7"/>
    </row>
    <row r="42" spans="1:34" ht="18.2" customHeight="1" thickBot="1">
      <c r="A42" s="346" t="s">
        <v>76</v>
      </c>
      <c r="B42" s="347">
        <v>29.08</v>
      </c>
      <c r="C42" s="348" t="s">
        <v>73</v>
      </c>
      <c r="D42" s="423"/>
      <c r="E42" s="350"/>
      <c r="F42" s="363"/>
      <c r="G42" s="350"/>
      <c r="H42" s="349"/>
      <c r="I42" s="350"/>
      <c r="J42" s="569"/>
      <c r="K42" s="350"/>
      <c r="L42" s="350"/>
      <c r="M42" s="350"/>
      <c r="N42" s="341">
        <f>N41*B25/1000</f>
        <v>0</v>
      </c>
      <c r="O42" s="383">
        <f>O41*B25/1000</f>
        <v>0.18</v>
      </c>
      <c r="P42" s="350"/>
      <c r="Q42" s="363">
        <f>Q41*Q25/1000</f>
        <v>0.78000000000000014</v>
      </c>
      <c r="R42" s="341">
        <f>Q42</f>
        <v>0.78000000000000014</v>
      </c>
      <c r="S42" s="350"/>
      <c r="T42" s="350"/>
      <c r="U42" s="341">
        <f>U41*U25/1000</f>
        <v>0.09</v>
      </c>
      <c r="V42" s="378"/>
      <c r="W42" s="341"/>
      <c r="X42" s="350"/>
      <c r="Y42" s="350"/>
      <c r="Z42" s="382"/>
      <c r="AA42" s="343">
        <f>ROUND(E42+G42+I42+J42+K42+L42+M42+N42+O42+R42+S42+T42+U42+W42+X42++Y42,2)</f>
        <v>1.05</v>
      </c>
      <c r="AB42" s="344">
        <f>AA42*B42</f>
        <v>30.533999999999999</v>
      </c>
      <c r="AC42" s="7"/>
      <c r="AD42" s="229">
        <f>AA42+AA141</f>
        <v>1.96</v>
      </c>
      <c r="AE42" s="7" t="str">
        <f>A42</f>
        <v>Мука пшен.</v>
      </c>
      <c r="AF42" s="7"/>
      <c r="AG42" s="7"/>
      <c r="AH42" s="7"/>
    </row>
    <row r="43" spans="1:34" ht="12" customHeight="1" thickTop="1">
      <c r="A43" s="133"/>
      <c r="B43" s="121"/>
      <c r="C43" s="77" t="s">
        <v>72</v>
      </c>
      <c r="D43" s="293"/>
      <c r="E43" s="88"/>
      <c r="F43" s="430"/>
      <c r="G43" s="129"/>
      <c r="H43" s="108"/>
      <c r="I43" s="88"/>
      <c r="J43" s="608"/>
      <c r="K43" s="88"/>
      <c r="L43" s="88"/>
      <c r="M43" s="88"/>
      <c r="N43" s="88"/>
      <c r="O43" s="131"/>
      <c r="P43" s="88"/>
      <c r="Q43" s="108"/>
      <c r="R43" s="129"/>
      <c r="S43" s="88"/>
      <c r="T43" s="88"/>
      <c r="U43" s="88"/>
      <c r="V43" s="113">
        <f>14/100*V26</f>
        <v>14.000000000000002</v>
      </c>
      <c r="W43" s="129">
        <f>V43/V26*W26</f>
        <v>14.000000000000002</v>
      </c>
      <c r="X43" s="88"/>
      <c r="Y43" s="88"/>
      <c r="Z43" s="85"/>
      <c r="AA43" s="125"/>
      <c r="AB43" s="123"/>
      <c r="AC43" s="7"/>
      <c r="AD43" s="224"/>
      <c r="AE43" s="7"/>
      <c r="AF43" s="7"/>
      <c r="AG43" s="7"/>
      <c r="AH43" s="7"/>
    </row>
    <row r="44" spans="1:34" ht="15.75" customHeight="1" thickBot="1">
      <c r="A44" s="346" t="s">
        <v>24</v>
      </c>
      <c r="B44" s="347">
        <v>81.92</v>
      </c>
      <c r="C44" s="348" t="s">
        <v>73</v>
      </c>
      <c r="D44" s="423"/>
      <c r="E44" s="350"/>
      <c r="F44" s="363"/>
      <c r="G44" s="341"/>
      <c r="H44" s="349"/>
      <c r="I44" s="350"/>
      <c r="J44" s="569"/>
      <c r="K44" s="350"/>
      <c r="L44" s="350"/>
      <c r="M44" s="350"/>
      <c r="N44" s="350"/>
      <c r="O44" s="350"/>
      <c r="P44" s="350"/>
      <c r="Q44" s="349"/>
      <c r="R44" s="350"/>
      <c r="S44" s="350"/>
      <c r="T44" s="350"/>
      <c r="U44" s="350"/>
      <c r="V44" s="378">
        <f>V43*F25/1000</f>
        <v>1.4000000000000001</v>
      </c>
      <c r="W44" s="341">
        <f>V44</f>
        <v>1.4000000000000001</v>
      </c>
      <c r="X44" s="350"/>
      <c r="Y44" s="350"/>
      <c r="Z44" s="382"/>
      <c r="AA44" s="343">
        <f>ROUND(E44+G44+I44+J44+K44+L44+M44+N44+O44+R44+S44+T44+U44+W44+X44++Y44,2)</f>
        <v>1.4</v>
      </c>
      <c r="AB44" s="344">
        <f>AA44*B44</f>
        <v>114.68799999999999</v>
      </c>
      <c r="AC44" s="7"/>
      <c r="AD44" s="229">
        <f>AA44+AA143</f>
        <v>2.5</v>
      </c>
      <c r="AE44" s="7" t="str">
        <f>A44</f>
        <v>Рис</v>
      </c>
      <c r="AF44" s="7"/>
      <c r="AG44" s="7"/>
      <c r="AH44" s="7"/>
    </row>
    <row r="45" spans="1:34" ht="12" customHeight="1" thickTop="1">
      <c r="A45" s="133"/>
      <c r="B45" s="121"/>
      <c r="C45" s="77" t="s">
        <v>72</v>
      </c>
      <c r="D45" s="293"/>
      <c r="E45" s="88"/>
      <c r="F45" s="430"/>
      <c r="G45" s="129"/>
      <c r="H45" s="108"/>
      <c r="I45" s="88"/>
      <c r="J45" s="608"/>
      <c r="K45" s="129">
        <f>K46/B25*1000</f>
        <v>30</v>
      </c>
      <c r="L45" s="88"/>
      <c r="M45" s="88"/>
      <c r="N45" s="88"/>
      <c r="O45" s="88"/>
      <c r="P45" s="88"/>
      <c r="Q45" s="108"/>
      <c r="R45" s="88"/>
      <c r="S45" s="88"/>
      <c r="T45" s="88"/>
      <c r="U45" s="128"/>
      <c r="V45" s="113"/>
      <c r="W45" s="131"/>
      <c r="X45" s="88"/>
      <c r="Y45" s="88"/>
      <c r="Z45" s="85"/>
      <c r="AA45" s="125"/>
      <c r="AB45" s="123"/>
      <c r="AC45" s="7"/>
      <c r="AD45" s="224"/>
      <c r="AE45" s="7"/>
      <c r="AF45" s="7"/>
      <c r="AG45" s="7"/>
      <c r="AH45" s="7"/>
    </row>
    <row r="46" spans="1:34" ht="15.75" customHeight="1" thickBot="1">
      <c r="A46" s="346" t="s">
        <v>237</v>
      </c>
      <c r="B46" s="347">
        <v>210</v>
      </c>
      <c r="C46" s="348" t="s">
        <v>73</v>
      </c>
      <c r="D46" s="423"/>
      <c r="E46" s="350"/>
      <c r="F46" s="363"/>
      <c r="G46" s="350"/>
      <c r="H46" s="349"/>
      <c r="I46" s="350"/>
      <c r="J46" s="569"/>
      <c r="K46" s="341">
        <v>3</v>
      </c>
      <c r="L46" s="350"/>
      <c r="M46" s="350"/>
      <c r="N46" s="350"/>
      <c r="O46" s="350"/>
      <c r="P46" s="350"/>
      <c r="Q46" s="349"/>
      <c r="R46" s="350"/>
      <c r="S46" s="350"/>
      <c r="T46" s="350"/>
      <c r="U46" s="350"/>
      <c r="V46" s="350"/>
      <c r="W46" s="350"/>
      <c r="X46" s="350"/>
      <c r="Y46" s="350"/>
      <c r="Z46" s="382"/>
      <c r="AA46" s="343">
        <f>ROUND(E46+G46+I46+J46+K46+L46+M46+N46+O46+R46+S46+T46+U46+W46+X46++Y46,2)</f>
        <v>3</v>
      </c>
      <c r="AB46" s="344">
        <f>AA46*B46</f>
        <v>630</v>
      </c>
      <c r="AC46" s="7"/>
      <c r="AD46" s="229">
        <f>AA46+AA145</f>
        <v>5</v>
      </c>
      <c r="AE46" s="7" t="str">
        <f>A46</f>
        <v>Печ-е, вафли</v>
      </c>
      <c r="AF46" s="7"/>
      <c r="AG46" s="7"/>
      <c r="AH46" s="7"/>
    </row>
    <row r="47" spans="1:34" ht="13.5" customHeight="1" thickTop="1">
      <c r="A47" s="133"/>
      <c r="B47" s="121"/>
      <c r="C47" s="77" t="s">
        <v>72</v>
      </c>
      <c r="D47" s="293"/>
      <c r="E47" s="88"/>
      <c r="F47" s="430">
        <v>1.6</v>
      </c>
      <c r="G47" s="129">
        <f>F47/F26*G26</f>
        <v>1.6</v>
      </c>
      <c r="H47" s="108">
        <v>7</v>
      </c>
      <c r="I47" s="129">
        <f>H47/H26*I26</f>
        <v>7</v>
      </c>
      <c r="J47" s="608"/>
      <c r="K47" s="88"/>
      <c r="L47" s="88"/>
      <c r="M47" s="88"/>
      <c r="N47" s="88"/>
      <c r="O47" s="131">
        <v>0.4</v>
      </c>
      <c r="P47" s="88"/>
      <c r="Q47" s="108"/>
      <c r="R47" s="88"/>
      <c r="S47" s="131">
        <v>10</v>
      </c>
      <c r="T47" s="88"/>
      <c r="U47" s="131">
        <v>1.6</v>
      </c>
      <c r="V47" s="113">
        <f>7/100*V26</f>
        <v>7.0000000000000009</v>
      </c>
      <c r="W47" s="129">
        <f>V47/V26*W26</f>
        <v>7.0000000000000009</v>
      </c>
      <c r="X47" s="131"/>
      <c r="Y47" s="88"/>
      <c r="Z47" s="85"/>
      <c r="AA47" s="125"/>
      <c r="AB47" s="123"/>
      <c r="AC47" s="7"/>
      <c r="AD47" s="224"/>
      <c r="AE47" s="7"/>
      <c r="AF47" s="7"/>
      <c r="AG47" s="7"/>
      <c r="AH47" s="7"/>
    </row>
    <row r="48" spans="1:34" ht="16.5" customHeight="1" thickBot="1">
      <c r="A48" s="346" t="s">
        <v>77</v>
      </c>
      <c r="B48" s="347">
        <v>62.77</v>
      </c>
      <c r="C48" s="348" t="s">
        <v>73</v>
      </c>
      <c r="D48" s="423"/>
      <c r="E48" s="350"/>
      <c r="F48" s="363">
        <f>F47*F25/1000</f>
        <v>0.16</v>
      </c>
      <c r="G48" s="341">
        <f>ROUND(F48,2)</f>
        <v>0.16</v>
      </c>
      <c r="H48" s="349">
        <f>H47*H25/1000</f>
        <v>0.7</v>
      </c>
      <c r="I48" s="341">
        <f>ROUND(H48,2)</f>
        <v>0.7</v>
      </c>
      <c r="J48" s="569"/>
      <c r="K48" s="350"/>
      <c r="L48" s="350"/>
      <c r="M48" s="350"/>
      <c r="N48" s="350"/>
      <c r="O48" s="383">
        <f>O47*B25/1000</f>
        <v>0.04</v>
      </c>
      <c r="P48" s="350"/>
      <c r="Q48" s="349"/>
      <c r="R48" s="350"/>
      <c r="S48" s="341">
        <f>ROUND(S47*B25/1000,2)</f>
        <v>1</v>
      </c>
      <c r="T48" s="350"/>
      <c r="U48" s="341">
        <f>ROUND(U47*U25/1000,2)</f>
        <v>0.16</v>
      </c>
      <c r="V48" s="378">
        <f>V47*F25/1000</f>
        <v>0.70000000000000007</v>
      </c>
      <c r="W48" s="341">
        <f>V48</f>
        <v>0.70000000000000007</v>
      </c>
      <c r="X48" s="350"/>
      <c r="Y48" s="350"/>
      <c r="Z48" s="382"/>
      <c r="AA48" s="343">
        <f>ROUND(E48+G48+I48+J48+K48+L48+M48+N48+O48+R48+S48+T48+U48+W48+X48++Y48,2)</f>
        <v>2.76</v>
      </c>
      <c r="AB48" s="344">
        <f>AA48*B48</f>
        <v>173.24519999999998</v>
      </c>
      <c r="AC48" s="7"/>
      <c r="AD48" s="229">
        <f>AA48+AA147</f>
        <v>5.0299999999999994</v>
      </c>
      <c r="AE48" s="7" t="str">
        <f>A48</f>
        <v>Сахар</v>
      </c>
      <c r="AF48" s="7"/>
      <c r="AG48" s="7"/>
      <c r="AH48" s="7"/>
    </row>
    <row r="49" spans="1:34" ht="15" customHeight="1" thickTop="1">
      <c r="A49" s="133"/>
      <c r="B49" s="121"/>
      <c r="C49" s="77" t="s">
        <v>72</v>
      </c>
      <c r="D49" s="293"/>
      <c r="E49" s="88"/>
      <c r="F49" s="90"/>
      <c r="G49" s="88"/>
      <c r="H49" s="108"/>
      <c r="I49" s="88"/>
      <c r="J49" s="608"/>
      <c r="K49" s="88"/>
      <c r="L49" s="88"/>
      <c r="M49" s="88"/>
      <c r="N49" s="88"/>
      <c r="O49" s="88"/>
      <c r="P49" s="88"/>
      <c r="Q49" s="108"/>
      <c r="R49" s="88"/>
      <c r="S49" s="131">
        <v>21</v>
      </c>
      <c r="T49" s="88"/>
      <c r="U49" s="88"/>
      <c r="V49" s="113"/>
      <c r="W49" s="88"/>
      <c r="X49" s="88"/>
      <c r="Y49" s="88"/>
      <c r="Z49" s="85"/>
      <c r="AA49" s="125"/>
      <c r="AB49" s="123"/>
      <c r="AC49" s="7"/>
      <c r="AD49" s="224"/>
      <c r="AE49" s="7"/>
      <c r="AF49" s="7"/>
      <c r="AG49" s="7"/>
      <c r="AH49" s="7"/>
    </row>
    <row r="50" spans="1:34" ht="15.75" customHeight="1" thickBot="1">
      <c r="A50" s="346" t="s">
        <v>88</v>
      </c>
      <c r="B50" s="347">
        <v>200</v>
      </c>
      <c r="C50" s="348" t="s">
        <v>73</v>
      </c>
      <c r="D50" s="423"/>
      <c r="E50" s="350"/>
      <c r="F50" s="363"/>
      <c r="G50" s="350"/>
      <c r="H50" s="349"/>
      <c r="I50" s="350"/>
      <c r="J50" s="569"/>
      <c r="K50" s="350"/>
      <c r="L50" s="350"/>
      <c r="M50" s="350"/>
      <c r="N50" s="350"/>
      <c r="O50" s="350"/>
      <c r="P50" s="350"/>
      <c r="Q50" s="349"/>
      <c r="R50" s="350"/>
      <c r="S50" s="341">
        <f>S49*B25/1000</f>
        <v>2.1</v>
      </c>
      <c r="T50" s="350"/>
      <c r="U50" s="350"/>
      <c r="V50" s="350"/>
      <c r="W50" s="350"/>
      <c r="X50" s="350"/>
      <c r="Y50" s="350"/>
      <c r="Z50" s="382"/>
      <c r="AA50" s="343">
        <f>ROUND(E50+G50+I50+J50+K50+L50+M50+N50+O50+R50+S50+T50+U50+W50+X50++Y50,2)</f>
        <v>2.1</v>
      </c>
      <c r="AB50" s="344">
        <f>AA50*B50</f>
        <v>420</v>
      </c>
      <c r="AC50" s="7"/>
      <c r="AD50" s="234">
        <f>AA50+AA149</f>
        <v>3.9000000000000004</v>
      </c>
      <c r="AE50" s="7" t="str">
        <f>A50</f>
        <v>Апельсины</v>
      </c>
      <c r="AF50" s="7"/>
      <c r="AG50" s="7"/>
      <c r="AH50" s="7"/>
    </row>
    <row r="51" spans="1:34" ht="12.75" customHeight="1" thickTop="1">
      <c r="A51" s="133"/>
      <c r="B51" s="102"/>
      <c r="C51" s="77" t="s">
        <v>72</v>
      </c>
      <c r="D51" s="293"/>
      <c r="E51" s="104"/>
      <c r="F51" s="103"/>
      <c r="G51" s="113"/>
      <c r="H51" s="108"/>
      <c r="I51" s="104"/>
      <c r="J51" s="608"/>
      <c r="K51" s="104"/>
      <c r="L51" s="184"/>
      <c r="M51" s="184"/>
      <c r="N51" s="131">
        <v>4</v>
      </c>
      <c r="O51" s="104"/>
      <c r="P51" s="104"/>
      <c r="Q51" s="108"/>
      <c r="R51" s="104"/>
      <c r="S51" s="104"/>
      <c r="T51" s="104"/>
      <c r="U51" s="104"/>
      <c r="V51" s="137"/>
      <c r="W51" s="104"/>
      <c r="X51" s="104"/>
      <c r="Y51" s="104"/>
      <c r="Z51" s="85"/>
      <c r="AA51" s="125"/>
      <c r="AB51" s="123"/>
      <c r="AC51" s="7"/>
      <c r="AD51" s="227"/>
      <c r="AE51" s="7"/>
      <c r="AF51" s="7"/>
      <c r="AG51" s="7"/>
      <c r="AH51" s="7"/>
    </row>
    <row r="52" spans="1:34" ht="15" customHeight="1" thickBot="1">
      <c r="A52" s="346" t="s">
        <v>304</v>
      </c>
      <c r="B52" s="347">
        <v>40.08</v>
      </c>
      <c r="C52" s="348" t="s">
        <v>73</v>
      </c>
      <c r="D52" s="423"/>
      <c r="E52" s="350"/>
      <c r="F52" s="363"/>
      <c r="G52" s="350"/>
      <c r="H52" s="349"/>
      <c r="I52" s="350"/>
      <c r="J52" s="569"/>
      <c r="K52" s="350"/>
      <c r="L52" s="341"/>
      <c r="M52" s="341"/>
      <c r="N52" s="341">
        <f>N51*B25/1000</f>
        <v>0.4</v>
      </c>
      <c r="O52" s="350"/>
      <c r="P52" s="350"/>
      <c r="Q52" s="349"/>
      <c r="R52" s="350"/>
      <c r="S52" s="350"/>
      <c r="T52" s="350"/>
      <c r="U52" s="350"/>
      <c r="V52" s="350"/>
      <c r="W52" s="350"/>
      <c r="X52" s="350"/>
      <c r="Y52" s="350"/>
      <c r="Z52" s="382"/>
      <c r="AA52" s="343">
        <f>ROUND(E52+G52+I52+J52+K52+L52+M52+N52+O52+R52+S52+T52+U52+W52+X52++Y52,2)</f>
        <v>0.4</v>
      </c>
      <c r="AB52" s="344">
        <f>AA52*B52</f>
        <v>16.032</v>
      </c>
      <c r="AC52" s="7"/>
      <c r="AD52" s="235">
        <f>AA52+AA151</f>
        <v>0.76</v>
      </c>
      <c r="AE52" s="7" t="str">
        <f>A52</f>
        <v>Крупа пшено</v>
      </c>
      <c r="AF52" s="7"/>
      <c r="AG52" s="7"/>
      <c r="AH52" s="7"/>
    </row>
    <row r="53" spans="1:34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18" t="s">
        <v>71</v>
      </c>
      <c r="AD53" s="228"/>
    </row>
    <row r="54" spans="1:34" ht="12" customHeight="1">
      <c r="A54" s="26" t="s">
        <v>53</v>
      </c>
      <c r="B54" s="20"/>
      <c r="C54" s="65"/>
      <c r="D54" s="6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28" t="s">
        <v>41</v>
      </c>
      <c r="P54" s="14"/>
      <c r="Q54" s="14"/>
      <c r="R54" s="14"/>
      <c r="S54" s="28" t="s">
        <v>11</v>
      </c>
      <c r="T54" s="28"/>
      <c r="U54" s="14"/>
      <c r="V54" s="14"/>
      <c r="W54" s="14"/>
      <c r="X54" s="14"/>
      <c r="Y54" s="22"/>
      <c r="Z54" s="14"/>
      <c r="AA54" s="1047" t="s">
        <v>8</v>
      </c>
      <c r="AB54" s="1048"/>
      <c r="AC54" s="7"/>
      <c r="AD54" s="228"/>
      <c r="AE54" s="7"/>
      <c r="AF54" s="7"/>
      <c r="AG54" s="7"/>
      <c r="AH54" s="7"/>
    </row>
    <row r="55" spans="1:34" ht="12" customHeight="1">
      <c r="A55" s="144"/>
      <c r="B55" s="19"/>
      <c r="C55" s="5" t="s">
        <v>52</v>
      </c>
      <c r="D55" s="1196" t="s">
        <v>188</v>
      </c>
      <c r="E55" s="1197"/>
      <c r="F55" s="1197"/>
      <c r="G55" s="1197"/>
      <c r="H55" s="1197"/>
      <c r="I55" s="1197"/>
      <c r="J55" s="1197"/>
      <c r="K55" s="1198"/>
      <c r="L55" s="147" t="s">
        <v>69</v>
      </c>
      <c r="M55" s="651"/>
      <c r="N55" s="1056" t="s">
        <v>16</v>
      </c>
      <c r="O55" s="1052"/>
      <c r="P55" s="1052"/>
      <c r="Q55" s="1052"/>
      <c r="R55" s="1052"/>
      <c r="S55" s="1052"/>
      <c r="T55" s="1053"/>
      <c r="U55" s="1056" t="s">
        <v>17</v>
      </c>
      <c r="V55" s="1052"/>
      <c r="W55" s="1052"/>
      <c r="X55" s="1052"/>
      <c r="Y55" s="1052"/>
      <c r="Z55" s="1052"/>
      <c r="AA55" s="1058" t="s">
        <v>3</v>
      </c>
      <c r="AB55" s="1059"/>
      <c r="AC55" s="7"/>
      <c r="AD55" s="228"/>
      <c r="AE55" s="7"/>
      <c r="AF55" s="7"/>
      <c r="AG55" s="7"/>
      <c r="AH55" s="7"/>
    </row>
    <row r="56" spans="1:34" ht="5.25" customHeight="1">
      <c r="A56" s="146"/>
      <c r="B56" s="5"/>
      <c r="C56" s="5" t="s">
        <v>51</v>
      </c>
      <c r="D56" s="1199"/>
      <c r="E56" s="1167"/>
      <c r="F56" s="1167"/>
      <c r="G56" s="1167"/>
      <c r="H56" s="1167"/>
      <c r="I56" s="1167"/>
      <c r="J56" s="1167"/>
      <c r="K56" s="1168"/>
      <c r="L56" s="149"/>
      <c r="M56" s="652"/>
      <c r="N56" s="1057"/>
      <c r="O56" s="1054"/>
      <c r="P56" s="1054"/>
      <c r="Q56" s="1054"/>
      <c r="R56" s="1054"/>
      <c r="S56" s="1054"/>
      <c r="T56" s="1055"/>
      <c r="U56" s="1057"/>
      <c r="V56" s="1054"/>
      <c r="W56" s="1054"/>
      <c r="X56" s="1054"/>
      <c r="Y56" s="1054"/>
      <c r="Z56" s="1054"/>
      <c r="AA56" s="1047" t="s">
        <v>36</v>
      </c>
      <c r="AB56" s="1048"/>
      <c r="AC56" s="8"/>
      <c r="AD56" s="228"/>
      <c r="AE56" s="7"/>
      <c r="AF56" s="7"/>
      <c r="AG56" s="7"/>
      <c r="AH56" s="7"/>
    </row>
    <row r="57" spans="1:34" ht="10.5" customHeight="1">
      <c r="A57" s="146" t="s">
        <v>54</v>
      </c>
      <c r="B57" s="5" t="s">
        <v>65</v>
      </c>
      <c r="C57" s="5" t="s">
        <v>9</v>
      </c>
      <c r="D57" s="1208" t="str">
        <f>D21</f>
        <v>Бутерб. с маслом сл.</v>
      </c>
      <c r="E57" s="1044" t="str">
        <f>E21</f>
        <v xml:space="preserve">  5. /20</v>
      </c>
      <c r="F57" s="1041" t="str">
        <f>F21</f>
        <v>Суп мол. с вермиш.</v>
      </c>
      <c r="G57" s="1038"/>
      <c r="H57" s="1041" t="str">
        <f>H21</f>
        <v>Чай с сахаром</v>
      </c>
      <c r="I57" s="1038"/>
      <c r="J57" s="1044" t="str">
        <f>J21</f>
        <v>Батон витаминиз.</v>
      </c>
      <c r="K57" s="1044" t="str">
        <f>K21</f>
        <v>Печенье, вафли</v>
      </c>
      <c r="L57" s="1041" t="str">
        <f>L21</f>
        <v>Сок фруковый</v>
      </c>
      <c r="M57" s="1041" t="str">
        <f>M23</f>
        <v>Салат из морк. и яблок</v>
      </c>
      <c r="N57" s="1044" t="str">
        <f>N21</f>
        <v>Суп карт. с крупой</v>
      </c>
      <c r="O57" s="1041" t="str">
        <f>O21</f>
        <v>Рагу овощное</v>
      </c>
      <c r="P57" s="1038">
        <f>P21</f>
        <v>0</v>
      </c>
      <c r="Q57" s="1041" t="str">
        <f>Q21</f>
        <v>Шницель из курицы</v>
      </c>
      <c r="R57" s="1038"/>
      <c r="S57" s="1205" t="str">
        <f t="shared" ref="S57:Z57" si="0">S21</f>
        <v>Компот из апельсинов</v>
      </c>
      <c r="T57" s="1200" t="str">
        <f t="shared" si="0"/>
        <v>Хлеб ржано-пшеничный</v>
      </c>
      <c r="U57" s="1041" t="str">
        <f t="shared" si="0"/>
        <v>Соус молочный</v>
      </c>
      <c r="V57" s="1044" t="str">
        <f>V21</f>
        <v xml:space="preserve">Пудинг из творога с рис. </v>
      </c>
      <c r="W57" s="1044">
        <f t="shared" si="0"/>
        <v>0</v>
      </c>
      <c r="X57" s="1044" t="str">
        <f t="shared" si="0"/>
        <v>Йогурт</v>
      </c>
      <c r="Y57" s="1200" t="str">
        <f t="shared" si="0"/>
        <v>Хлеб йодирован. пшен.</v>
      </c>
      <c r="Z57" s="1214">
        <f t="shared" si="0"/>
        <v>0</v>
      </c>
      <c r="AA57" s="24"/>
      <c r="AB57" s="23"/>
      <c r="AC57" s="7"/>
      <c r="AD57" s="228"/>
      <c r="AE57" s="7"/>
      <c r="AF57" s="7"/>
      <c r="AG57" s="7"/>
      <c r="AH57" s="7"/>
    </row>
    <row r="58" spans="1:34" ht="10.5" customHeight="1">
      <c r="A58" s="146"/>
      <c r="B58" s="5"/>
      <c r="C58" s="5" t="s">
        <v>10</v>
      </c>
      <c r="D58" s="1209"/>
      <c r="E58" s="1045"/>
      <c r="F58" s="1042"/>
      <c r="G58" s="1039"/>
      <c r="H58" s="1042"/>
      <c r="I58" s="1039"/>
      <c r="J58" s="1045"/>
      <c r="K58" s="1045"/>
      <c r="L58" s="1042"/>
      <c r="M58" s="1042"/>
      <c r="N58" s="1045"/>
      <c r="O58" s="1042"/>
      <c r="P58" s="1039"/>
      <c r="Q58" s="1042"/>
      <c r="R58" s="1039"/>
      <c r="S58" s="1206"/>
      <c r="T58" s="1201"/>
      <c r="U58" s="1042"/>
      <c r="V58" s="1194"/>
      <c r="W58" s="1045"/>
      <c r="X58" s="1045"/>
      <c r="Y58" s="1201"/>
      <c r="Z58" s="1215"/>
      <c r="AA58" s="19" t="s">
        <v>6</v>
      </c>
      <c r="AB58" s="145" t="s">
        <v>4</v>
      </c>
      <c r="AC58" s="7"/>
      <c r="AD58" s="228"/>
      <c r="AE58" s="7"/>
      <c r="AF58" s="7"/>
      <c r="AG58" s="7"/>
      <c r="AH58" s="7"/>
    </row>
    <row r="59" spans="1:34" ht="10.5" customHeight="1">
      <c r="A59" s="152"/>
      <c r="B59" s="4"/>
      <c r="C59" s="4"/>
      <c r="D59" s="1210"/>
      <c r="E59" s="1046"/>
      <c r="F59" s="1043"/>
      <c r="G59" s="1040"/>
      <c r="H59" s="1043"/>
      <c r="I59" s="1040"/>
      <c r="J59" s="1046"/>
      <c r="K59" s="1046"/>
      <c r="L59" s="1043"/>
      <c r="M59" s="1043"/>
      <c r="N59" s="1046"/>
      <c r="O59" s="1043"/>
      <c r="P59" s="1040"/>
      <c r="Q59" s="1043"/>
      <c r="R59" s="1040"/>
      <c r="S59" s="1207"/>
      <c r="T59" s="1202"/>
      <c r="U59" s="1043"/>
      <c r="V59" s="1195"/>
      <c r="W59" s="1046"/>
      <c r="X59" s="1046"/>
      <c r="Y59" s="1202"/>
      <c r="Z59" s="1216"/>
      <c r="AA59" s="4" t="s">
        <v>7</v>
      </c>
      <c r="AB59" s="151" t="s">
        <v>5</v>
      </c>
      <c r="AC59" s="7"/>
      <c r="AD59" s="228"/>
      <c r="AE59" s="7"/>
      <c r="AF59" s="7"/>
      <c r="AG59" s="7"/>
      <c r="AH59" s="7"/>
    </row>
    <row r="60" spans="1:34" ht="11.25" customHeight="1" thickBot="1">
      <c r="A60" s="64">
        <v>1</v>
      </c>
      <c r="B60" s="810">
        <v>2</v>
      </c>
      <c r="C60" s="72">
        <v>3</v>
      </c>
      <c r="D60" s="76">
        <v>4</v>
      </c>
      <c r="E60" s="80">
        <v>5</v>
      </c>
      <c r="F60" s="86">
        <v>6</v>
      </c>
      <c r="G60" s="76">
        <v>7</v>
      </c>
      <c r="H60" s="87">
        <v>8</v>
      </c>
      <c r="I60" s="80">
        <v>9</v>
      </c>
      <c r="J60" s="81">
        <v>10</v>
      </c>
      <c r="K60" s="96">
        <v>11</v>
      </c>
      <c r="L60" s="96">
        <v>12</v>
      </c>
      <c r="M60" s="96">
        <v>13</v>
      </c>
      <c r="N60" s="81">
        <v>14</v>
      </c>
      <c r="O60" s="81">
        <v>15</v>
      </c>
      <c r="P60" s="80">
        <v>14</v>
      </c>
      <c r="Q60" s="97">
        <v>16</v>
      </c>
      <c r="R60" s="93">
        <v>17</v>
      </c>
      <c r="S60" s="96">
        <v>18</v>
      </c>
      <c r="T60" s="98">
        <v>19</v>
      </c>
      <c r="U60" s="80">
        <v>20</v>
      </c>
      <c r="V60" s="80">
        <v>21</v>
      </c>
      <c r="W60" s="96">
        <v>22</v>
      </c>
      <c r="X60" s="81">
        <v>23</v>
      </c>
      <c r="Y60" s="96">
        <v>24</v>
      </c>
      <c r="Z60" s="82">
        <v>23</v>
      </c>
      <c r="AA60" s="35">
        <v>25</v>
      </c>
      <c r="AB60" s="809">
        <v>26</v>
      </c>
      <c r="AC60" s="7"/>
      <c r="AD60" s="233"/>
      <c r="AE60" s="7"/>
      <c r="AF60" s="7"/>
      <c r="AG60" s="7"/>
      <c r="AH60" s="7"/>
    </row>
    <row r="61" spans="1:34" ht="14.25" customHeight="1" thickTop="1">
      <c r="A61" s="135"/>
      <c r="B61" s="13"/>
      <c r="C61" s="77" t="s">
        <v>72</v>
      </c>
      <c r="D61" s="294"/>
      <c r="E61" s="94"/>
      <c r="F61" s="109"/>
      <c r="G61" s="94"/>
      <c r="H61" s="109"/>
      <c r="I61" s="94"/>
      <c r="J61" s="667"/>
      <c r="K61" s="277"/>
      <c r="L61" s="94"/>
      <c r="M61" s="130"/>
      <c r="N61" s="130">
        <v>92.4</v>
      </c>
      <c r="O61" s="130">
        <v>74</v>
      </c>
      <c r="P61" s="94"/>
      <c r="Q61" s="436"/>
      <c r="R61" s="94"/>
      <c r="S61" s="94"/>
      <c r="T61" s="94"/>
      <c r="U61" s="130"/>
      <c r="V61" s="181"/>
      <c r="W61" s="94"/>
      <c r="X61" s="94"/>
      <c r="Y61" s="94"/>
      <c r="Z61" s="83"/>
      <c r="AA61" s="117"/>
      <c r="AB61" s="116"/>
      <c r="AC61" s="7"/>
      <c r="AD61" s="232"/>
      <c r="AE61" s="7"/>
      <c r="AF61" s="7"/>
      <c r="AG61" s="7"/>
    </row>
    <row r="62" spans="1:34" ht="18" customHeight="1" thickBot="1">
      <c r="A62" s="346" t="s">
        <v>26</v>
      </c>
      <c r="B62" s="347">
        <v>28</v>
      </c>
      <c r="C62" s="348" t="s">
        <v>73</v>
      </c>
      <c r="D62" s="348"/>
      <c r="E62" s="337"/>
      <c r="F62" s="338"/>
      <c r="G62" s="337"/>
      <c r="H62" s="338"/>
      <c r="I62" s="337"/>
      <c r="J62" s="668"/>
      <c r="K62" s="353"/>
      <c r="L62" s="337"/>
      <c r="M62" s="341">
        <f>M61*B25/1000</f>
        <v>0</v>
      </c>
      <c r="N62" s="339">
        <f>N61*B25/1000</f>
        <v>9.24</v>
      </c>
      <c r="O62" s="339">
        <f>O61*B25/1000</f>
        <v>7.4</v>
      </c>
      <c r="P62" s="337"/>
      <c r="Q62" s="613"/>
      <c r="R62" s="337"/>
      <c r="S62" s="337"/>
      <c r="T62" s="337"/>
      <c r="U62" s="350"/>
      <c r="V62" s="350"/>
      <c r="W62" s="337"/>
      <c r="X62" s="337"/>
      <c r="Y62" s="337"/>
      <c r="Z62" s="380"/>
      <c r="AA62" s="343">
        <f>ROUND(E62+G62+I62+J62+K62+L62+M62+N62+O62+R62+S62+T62+U62+W62+X62++Y62,2)</f>
        <v>16.64</v>
      </c>
      <c r="AB62" s="344">
        <f>AA62*B62</f>
        <v>465.92</v>
      </c>
      <c r="AC62" s="7"/>
      <c r="AD62" s="229">
        <f>AA62+AA161</f>
        <v>31.259999999999998</v>
      </c>
      <c r="AE62" s="7" t="str">
        <f>A62</f>
        <v>Картофель</v>
      </c>
      <c r="AF62" s="7"/>
      <c r="AG62" s="7"/>
    </row>
    <row r="63" spans="1:34" ht="14.25" customHeight="1" thickTop="1">
      <c r="A63" s="133"/>
      <c r="B63" s="122"/>
      <c r="C63" s="77" t="s">
        <v>72</v>
      </c>
      <c r="D63" s="295"/>
      <c r="E63" s="106"/>
      <c r="F63" s="112"/>
      <c r="G63" s="106"/>
      <c r="H63" s="112"/>
      <c r="I63" s="106"/>
      <c r="J63" s="669"/>
      <c r="K63" s="268"/>
      <c r="L63" s="106"/>
      <c r="M63" s="106"/>
      <c r="N63" s="106"/>
      <c r="O63" s="250">
        <v>32.5</v>
      </c>
      <c r="P63" s="106"/>
      <c r="Q63" s="112"/>
      <c r="R63" s="113"/>
      <c r="S63" s="106"/>
      <c r="T63" s="106"/>
      <c r="U63" s="250"/>
      <c r="V63" s="256"/>
      <c r="W63" s="106"/>
      <c r="X63" s="106"/>
      <c r="Y63" s="106"/>
      <c r="Z63" s="101"/>
      <c r="AA63" s="125"/>
      <c r="AB63" s="123"/>
      <c r="AC63" s="7"/>
      <c r="AD63" s="224"/>
      <c r="AE63" s="7"/>
      <c r="AF63" s="7"/>
      <c r="AG63" s="7"/>
    </row>
    <row r="64" spans="1:34" ht="18" customHeight="1" thickBot="1">
      <c r="A64" s="346" t="s">
        <v>101</v>
      </c>
      <c r="B64" s="347">
        <v>30</v>
      </c>
      <c r="C64" s="348" t="s">
        <v>73</v>
      </c>
      <c r="D64" s="348"/>
      <c r="E64" s="337"/>
      <c r="F64" s="338"/>
      <c r="G64" s="337"/>
      <c r="H64" s="338"/>
      <c r="I64" s="337"/>
      <c r="J64" s="668"/>
      <c r="K64" s="353"/>
      <c r="L64" s="337"/>
      <c r="M64" s="337"/>
      <c r="N64" s="337"/>
      <c r="O64" s="339">
        <f>O63*B25/1000</f>
        <v>3.25</v>
      </c>
      <c r="P64" s="337"/>
      <c r="Q64" s="349"/>
      <c r="R64" s="340"/>
      <c r="S64" s="337"/>
      <c r="T64" s="337"/>
      <c r="U64" s="350"/>
      <c r="V64" s="350"/>
      <c r="W64" s="337"/>
      <c r="X64" s="337"/>
      <c r="Y64" s="337"/>
      <c r="Z64" s="380"/>
      <c r="AA64" s="343">
        <f>ROUND(E64+G64+I64+J64+K64+L64+M64+N64+O64+R64+S64+T64+U64+W64+X64++Y64,2)</f>
        <v>3.25</v>
      </c>
      <c r="AB64" s="344">
        <f>AA64*B64</f>
        <v>97.5</v>
      </c>
      <c r="AC64" s="7"/>
      <c r="AD64" s="229">
        <f>AA64+AA163</f>
        <v>6</v>
      </c>
      <c r="AE64" s="7" t="str">
        <f>A64</f>
        <v>Капуста св.</v>
      </c>
      <c r="AF64" s="7"/>
      <c r="AG64" s="7"/>
    </row>
    <row r="65" spans="1:34" ht="14.25" customHeight="1" thickTop="1">
      <c r="A65" s="133"/>
      <c r="B65" s="122"/>
      <c r="C65" s="77" t="s">
        <v>72</v>
      </c>
      <c r="D65" s="295"/>
      <c r="E65" s="106"/>
      <c r="F65" s="112"/>
      <c r="G65" s="106"/>
      <c r="H65" s="112"/>
      <c r="I65" s="106"/>
      <c r="J65" s="669"/>
      <c r="K65" s="268"/>
      <c r="L65" s="106"/>
      <c r="M65" s="127"/>
      <c r="N65" s="127">
        <v>9.6</v>
      </c>
      <c r="O65" s="250">
        <v>14.4</v>
      </c>
      <c r="P65" s="106"/>
      <c r="Q65" s="112"/>
      <c r="R65" s="129"/>
      <c r="S65" s="106"/>
      <c r="T65" s="106"/>
      <c r="U65" s="250"/>
      <c r="V65" s="256"/>
      <c r="W65" s="106"/>
      <c r="X65" s="106"/>
      <c r="Y65" s="106"/>
      <c r="Z65" s="101"/>
      <c r="AA65" s="125"/>
      <c r="AB65" s="124"/>
      <c r="AC65" s="7"/>
      <c r="AD65" s="224"/>
      <c r="AE65" s="7"/>
      <c r="AF65" s="7"/>
      <c r="AG65" s="7"/>
      <c r="AH65" s="7"/>
    </row>
    <row r="66" spans="1:34" ht="18" customHeight="1" thickBot="1">
      <c r="A66" s="346" t="s">
        <v>109</v>
      </c>
      <c r="B66" s="347">
        <v>37</v>
      </c>
      <c r="C66" s="348" t="s">
        <v>73</v>
      </c>
      <c r="D66" s="348"/>
      <c r="E66" s="337"/>
      <c r="F66" s="338"/>
      <c r="G66" s="337"/>
      <c r="H66" s="338"/>
      <c r="I66" s="337"/>
      <c r="J66" s="668"/>
      <c r="K66" s="353"/>
      <c r="L66" s="337"/>
      <c r="M66" s="341">
        <f>M65*B25/1000</f>
        <v>0</v>
      </c>
      <c r="N66" s="339">
        <f>N65*B25/1000</f>
        <v>0.96</v>
      </c>
      <c r="O66" s="339">
        <f>O65*B25/1000</f>
        <v>1.44</v>
      </c>
      <c r="P66" s="337"/>
      <c r="Q66" s="349"/>
      <c r="R66" s="340"/>
      <c r="S66" s="337"/>
      <c r="T66" s="337"/>
      <c r="U66" s="350"/>
      <c r="V66" s="350"/>
      <c r="W66" s="337"/>
      <c r="X66" s="337"/>
      <c r="Y66" s="337"/>
      <c r="Z66" s="380"/>
      <c r="AA66" s="343">
        <f>ROUND(E66+G66+I66+J66+K66+L66+M66+N66+O66+R66+S66+T66+U66+W66+X66++Y66,2)</f>
        <v>2.4</v>
      </c>
      <c r="AB66" s="351">
        <f>AA66*B66</f>
        <v>88.8</v>
      </c>
      <c r="AC66" s="7"/>
      <c r="AD66" s="229">
        <f>AA66+AA165</f>
        <v>4.4800000000000004</v>
      </c>
      <c r="AE66" s="7" t="str">
        <f>A66</f>
        <v>Лук репч.</v>
      </c>
      <c r="AF66" s="7"/>
      <c r="AG66" s="7"/>
      <c r="AH66" s="7"/>
    </row>
    <row r="67" spans="1:34" ht="15" customHeight="1" thickTop="1">
      <c r="A67" s="133"/>
      <c r="B67" s="122"/>
      <c r="C67" s="77" t="s">
        <v>72</v>
      </c>
      <c r="D67" s="295"/>
      <c r="E67" s="106"/>
      <c r="F67" s="112"/>
      <c r="G67" s="106"/>
      <c r="H67" s="112"/>
      <c r="I67" s="106"/>
      <c r="J67" s="669"/>
      <c r="K67" s="268"/>
      <c r="L67" s="106"/>
      <c r="M67" s="127">
        <v>35.200000000000003</v>
      </c>
      <c r="N67" s="127">
        <v>10.6</v>
      </c>
      <c r="O67" s="250">
        <v>27</v>
      </c>
      <c r="P67" s="106"/>
      <c r="Q67" s="112"/>
      <c r="R67" s="129"/>
      <c r="S67" s="106"/>
      <c r="T67" s="106"/>
      <c r="U67" s="250"/>
      <c r="V67" s="128"/>
      <c r="W67" s="106"/>
      <c r="X67" s="106"/>
      <c r="Y67" s="106"/>
      <c r="Z67" s="101"/>
      <c r="AA67" s="125"/>
      <c r="AB67" s="123"/>
      <c r="AC67" s="7"/>
      <c r="AD67" s="224"/>
      <c r="AE67" s="7"/>
      <c r="AF67" s="7"/>
      <c r="AG67" s="7"/>
      <c r="AH67" s="7"/>
    </row>
    <row r="68" spans="1:34" ht="18" customHeight="1" thickBot="1">
      <c r="A68" s="346" t="s">
        <v>28</v>
      </c>
      <c r="B68" s="347">
        <v>38</v>
      </c>
      <c r="C68" s="348" t="s">
        <v>73</v>
      </c>
      <c r="D68" s="348"/>
      <c r="E68" s="337"/>
      <c r="F68" s="338"/>
      <c r="G68" s="337"/>
      <c r="H68" s="338"/>
      <c r="I68" s="337"/>
      <c r="J68" s="668"/>
      <c r="K68" s="353"/>
      <c r="L68" s="337"/>
      <c r="M68" s="341">
        <f>M67*B25/1000</f>
        <v>3.5200000000000005</v>
      </c>
      <c r="N68" s="339">
        <f>N67*B25/1000</f>
        <v>1.06</v>
      </c>
      <c r="O68" s="339">
        <f>O67*B25/1000</f>
        <v>2.7</v>
      </c>
      <c r="P68" s="337"/>
      <c r="Q68" s="349"/>
      <c r="R68" s="340"/>
      <c r="S68" s="337"/>
      <c r="T68" s="337"/>
      <c r="U68" s="350"/>
      <c r="V68" s="341"/>
      <c r="W68" s="337"/>
      <c r="X68" s="337"/>
      <c r="Y68" s="337"/>
      <c r="Z68" s="380"/>
      <c r="AA68" s="343">
        <f>ROUND(E68+G68+I68+J68+K68+L68+M68+N68+O68+R68+S68+T68+U68+W68+X68++Y68,2)</f>
        <v>7.28</v>
      </c>
      <c r="AB68" s="344">
        <f>AA68*B68</f>
        <v>276.64</v>
      </c>
      <c r="AC68" s="7"/>
      <c r="AD68" s="229">
        <f>AA68+AA167</f>
        <v>12.66</v>
      </c>
      <c r="AE68" s="7" t="str">
        <f>A68</f>
        <v>Морковь</v>
      </c>
      <c r="AF68" s="7"/>
      <c r="AG68" s="7"/>
      <c r="AH68" s="7"/>
    </row>
    <row r="69" spans="1:34" ht="12" customHeight="1" thickTop="1">
      <c r="A69" s="133"/>
      <c r="B69" s="122"/>
      <c r="C69" s="77" t="s">
        <v>72</v>
      </c>
      <c r="D69" s="293"/>
      <c r="E69" s="129"/>
      <c r="F69" s="177"/>
      <c r="G69" s="128"/>
      <c r="H69" s="112"/>
      <c r="I69" s="106"/>
      <c r="J69" s="669"/>
      <c r="K69" s="268"/>
      <c r="L69" s="106"/>
      <c r="M69" s="127">
        <v>24.5</v>
      </c>
      <c r="N69" s="128"/>
      <c r="O69" s="250"/>
      <c r="P69" s="106"/>
      <c r="Q69" s="112"/>
      <c r="R69" s="106"/>
      <c r="S69" s="106"/>
      <c r="T69" s="106"/>
      <c r="U69" s="250"/>
      <c r="V69" s="128"/>
      <c r="W69" s="127"/>
      <c r="X69" s="106"/>
      <c r="Y69" s="106"/>
      <c r="Z69" s="101"/>
      <c r="AA69" s="125"/>
      <c r="AB69" s="123"/>
      <c r="AC69" s="7"/>
      <c r="AD69" s="224"/>
      <c r="AE69" s="7"/>
      <c r="AF69" s="7"/>
      <c r="AG69" s="7"/>
      <c r="AH69" s="7"/>
    </row>
    <row r="70" spans="1:34" ht="18" customHeight="1" thickBot="1">
      <c r="A70" s="346" t="s">
        <v>151</v>
      </c>
      <c r="B70" s="347">
        <v>100</v>
      </c>
      <c r="C70" s="348" t="s">
        <v>73</v>
      </c>
      <c r="D70" s="423"/>
      <c r="E70" s="350"/>
      <c r="F70" s="349"/>
      <c r="G70" s="340"/>
      <c r="H70" s="338"/>
      <c r="I70" s="337"/>
      <c r="J70" s="668"/>
      <c r="K70" s="353"/>
      <c r="L70" s="337"/>
      <c r="M70" s="341">
        <f>M69*B25/1000</f>
        <v>2.4500000000000002</v>
      </c>
      <c r="N70" s="342"/>
      <c r="O70" s="340"/>
      <c r="P70" s="337"/>
      <c r="Q70" s="338"/>
      <c r="R70" s="337"/>
      <c r="S70" s="337"/>
      <c r="T70" s="337"/>
      <c r="U70" s="340"/>
      <c r="V70" s="340"/>
      <c r="W70" s="340"/>
      <c r="X70" s="337"/>
      <c r="Y70" s="337"/>
      <c r="Z70" s="380"/>
      <c r="AA70" s="343">
        <f>ROUND(E70+G70+I70+J70+K70+L70+M70+N70+O70+R70+S70+T70+U70+W70+X70++Y70,2)</f>
        <v>2.4500000000000002</v>
      </c>
      <c r="AB70" s="344">
        <f>AA70*B70</f>
        <v>245.00000000000003</v>
      </c>
      <c r="AC70" s="7"/>
      <c r="AD70" s="229">
        <f>AA70+AA169</f>
        <v>3.92</v>
      </c>
      <c r="AE70" s="7" t="str">
        <f>A70</f>
        <v>Яблоки св.</v>
      </c>
      <c r="AF70" s="7"/>
      <c r="AG70" s="7"/>
      <c r="AH70" s="7"/>
    </row>
    <row r="71" spans="1:34" ht="15" customHeight="1" thickTop="1">
      <c r="A71" s="133"/>
      <c r="B71" s="122"/>
      <c r="C71" s="77" t="s">
        <v>72</v>
      </c>
      <c r="D71" s="293">
        <v>20</v>
      </c>
      <c r="E71" s="129">
        <f>D71/D26*E26</f>
        <v>20</v>
      </c>
      <c r="F71" s="177"/>
      <c r="G71" s="106"/>
      <c r="H71" s="112"/>
      <c r="I71" s="106"/>
      <c r="J71" s="566">
        <f>J72/B25*1000</f>
        <v>20</v>
      </c>
      <c r="K71" s="184"/>
      <c r="L71" s="106"/>
      <c r="M71" s="106"/>
      <c r="N71" s="106"/>
      <c r="O71" s="106"/>
      <c r="P71" s="106"/>
      <c r="Q71" s="108">
        <f>8.7/70*Q26</f>
        <v>8.6999999999999993</v>
      </c>
      <c r="R71" s="128">
        <f>Q71/Q26*R26</f>
        <v>8.6999999999999993</v>
      </c>
      <c r="S71" s="106"/>
      <c r="T71" s="106"/>
      <c r="U71" s="251"/>
      <c r="V71" s="114"/>
      <c r="W71" s="106"/>
      <c r="X71" s="114"/>
      <c r="Y71" s="128"/>
      <c r="Z71" s="101"/>
      <c r="AA71" s="125"/>
      <c r="AB71" s="123"/>
      <c r="AC71" s="7"/>
      <c r="AD71" s="224"/>
      <c r="AE71" s="7"/>
      <c r="AF71" s="7"/>
      <c r="AG71" s="7"/>
      <c r="AH71" s="7"/>
    </row>
    <row r="72" spans="1:34" ht="18" customHeight="1" thickBot="1">
      <c r="A72" s="346" t="s">
        <v>62</v>
      </c>
      <c r="B72" s="347">
        <v>81.099999999999994</v>
      </c>
      <c r="C72" s="348" t="s">
        <v>73</v>
      </c>
      <c r="D72" s="423">
        <f>D71*F25/1000</f>
        <v>2</v>
      </c>
      <c r="E72" s="341">
        <f>D72</f>
        <v>2</v>
      </c>
      <c r="F72" s="349"/>
      <c r="G72" s="337"/>
      <c r="H72" s="338"/>
      <c r="I72" s="337"/>
      <c r="J72" s="670">
        <v>2</v>
      </c>
      <c r="K72" s="354"/>
      <c r="L72" s="337"/>
      <c r="M72" s="337"/>
      <c r="N72" s="337"/>
      <c r="O72" s="337"/>
      <c r="P72" s="337"/>
      <c r="Q72" s="349">
        <f>Q71*F25/1000</f>
        <v>0.86999999999999988</v>
      </c>
      <c r="R72" s="339">
        <f>Q72</f>
        <v>0.86999999999999988</v>
      </c>
      <c r="S72" s="337"/>
      <c r="T72" s="337"/>
      <c r="U72" s="358"/>
      <c r="V72" s="381"/>
      <c r="W72" s="337"/>
      <c r="X72" s="337"/>
      <c r="Y72" s="339"/>
      <c r="Z72" s="380"/>
      <c r="AA72" s="343">
        <f>ROUND(E72+G72+I72+J72+K72+L72+M72+N72+O72+R72+S72+T72+U72+W72+X72++Y72,2)</f>
        <v>4.87</v>
      </c>
      <c r="AB72" s="344">
        <f>AA72*B72</f>
        <v>394.95699999999999</v>
      </c>
      <c r="AC72" s="7"/>
      <c r="AD72" s="229">
        <f>AA72+AA171</f>
        <v>8.620000000000001</v>
      </c>
      <c r="AE72" s="7" t="str">
        <f>A72</f>
        <v>Батон витам.</v>
      </c>
      <c r="AF72" s="7"/>
      <c r="AG72" s="7"/>
      <c r="AH72" s="7"/>
    </row>
    <row r="73" spans="1:34" ht="16.5" customHeight="1" thickTop="1">
      <c r="A73" s="133"/>
      <c r="B73" s="122"/>
      <c r="C73" s="77" t="s">
        <v>72</v>
      </c>
      <c r="D73" s="295"/>
      <c r="E73" s="106"/>
      <c r="F73" s="177"/>
      <c r="G73" s="106"/>
      <c r="H73" s="112"/>
      <c r="I73" s="106"/>
      <c r="J73" s="669"/>
      <c r="K73" s="268"/>
      <c r="L73" s="106"/>
      <c r="M73" s="106"/>
      <c r="N73" s="106"/>
      <c r="O73" s="106"/>
      <c r="P73" s="106"/>
      <c r="Q73" s="112"/>
      <c r="R73" s="106"/>
      <c r="S73" s="106"/>
      <c r="T73" s="128">
        <f>T74/T25*1000</f>
        <v>40</v>
      </c>
      <c r="U73" s="251"/>
      <c r="V73" s="114"/>
      <c r="W73" s="106"/>
      <c r="X73" s="106"/>
      <c r="Y73" s="106"/>
      <c r="Z73" s="101"/>
      <c r="AA73" s="125"/>
      <c r="AB73" s="123"/>
      <c r="AC73" s="7"/>
      <c r="AD73" s="231"/>
      <c r="AE73" s="7"/>
      <c r="AF73" s="7"/>
      <c r="AG73" s="7"/>
      <c r="AH73" s="7"/>
    </row>
    <row r="74" spans="1:34" ht="18" customHeight="1" thickBot="1">
      <c r="A74" s="346" t="s">
        <v>82</v>
      </c>
      <c r="B74" s="347">
        <v>55</v>
      </c>
      <c r="C74" s="348" t="s">
        <v>73</v>
      </c>
      <c r="D74" s="348"/>
      <c r="E74" s="337"/>
      <c r="F74" s="349"/>
      <c r="G74" s="337"/>
      <c r="H74" s="338"/>
      <c r="I74" s="337"/>
      <c r="J74" s="668"/>
      <c r="K74" s="353"/>
      <c r="L74" s="337"/>
      <c r="M74" s="337"/>
      <c r="N74" s="337"/>
      <c r="O74" s="337"/>
      <c r="P74" s="337"/>
      <c r="Q74" s="338"/>
      <c r="R74" s="337"/>
      <c r="S74" s="337"/>
      <c r="T74" s="342">
        <v>4</v>
      </c>
      <c r="U74" s="358"/>
      <c r="V74" s="381"/>
      <c r="W74" s="337"/>
      <c r="X74" s="337"/>
      <c r="Y74" s="337"/>
      <c r="Z74" s="380"/>
      <c r="AA74" s="343">
        <f>ROUND(E74+G74+I74+J74+K74+L74+M74+N74+O74+R74+S74+T74+U74+W74+X74++Y74,2)</f>
        <v>4</v>
      </c>
      <c r="AB74" s="344">
        <f>AA74*B74</f>
        <v>220</v>
      </c>
      <c r="AC74" s="7"/>
      <c r="AD74" s="229">
        <f>AA74+AA173</f>
        <v>7</v>
      </c>
      <c r="AE74" s="7" t="str">
        <f>A74</f>
        <v>Хлеб рж-пшен.</v>
      </c>
      <c r="AF74" s="7"/>
      <c r="AG74" s="7"/>
      <c r="AH74" s="7"/>
    </row>
    <row r="75" spans="1:34" ht="16.5" customHeight="1" thickTop="1">
      <c r="A75" s="133"/>
      <c r="B75" s="122"/>
      <c r="C75" s="77" t="s">
        <v>72</v>
      </c>
      <c r="D75" s="295"/>
      <c r="E75" s="106"/>
      <c r="F75" s="177"/>
      <c r="G75" s="106"/>
      <c r="H75" s="112"/>
      <c r="I75" s="106"/>
      <c r="J75" s="669"/>
      <c r="K75" s="268"/>
      <c r="L75" s="106"/>
      <c r="M75" s="106"/>
      <c r="N75" s="106"/>
      <c r="O75" s="127"/>
      <c r="P75" s="106"/>
      <c r="Q75" s="112"/>
      <c r="R75" s="106"/>
      <c r="S75" s="106"/>
      <c r="T75" s="106"/>
      <c r="U75" s="251"/>
      <c r="V75" s="114"/>
      <c r="W75" s="106"/>
      <c r="X75" s="106"/>
      <c r="Y75" s="128">
        <f>Y76/Y25*1000</f>
        <v>20</v>
      </c>
      <c r="Z75" s="101"/>
      <c r="AA75" s="125"/>
      <c r="AB75" s="123"/>
      <c r="AC75" s="7"/>
      <c r="AD75" s="224"/>
      <c r="AE75" s="7"/>
      <c r="AF75" s="7"/>
      <c r="AG75" s="7"/>
      <c r="AH75" s="7"/>
    </row>
    <row r="76" spans="1:34" ht="18" customHeight="1" thickBot="1">
      <c r="A76" s="346" t="s">
        <v>84</v>
      </c>
      <c r="B76" s="347">
        <v>61.3</v>
      </c>
      <c r="C76" s="348" t="s">
        <v>73</v>
      </c>
      <c r="D76" s="348"/>
      <c r="E76" s="337"/>
      <c r="F76" s="349"/>
      <c r="G76" s="337"/>
      <c r="H76" s="338"/>
      <c r="I76" s="337"/>
      <c r="J76" s="668"/>
      <c r="K76" s="353"/>
      <c r="L76" s="337"/>
      <c r="M76" s="337"/>
      <c r="N76" s="337"/>
      <c r="O76" s="340"/>
      <c r="P76" s="337"/>
      <c r="Q76" s="338"/>
      <c r="R76" s="337"/>
      <c r="S76" s="337"/>
      <c r="T76" s="337"/>
      <c r="U76" s="358"/>
      <c r="V76" s="381"/>
      <c r="W76" s="337"/>
      <c r="X76" s="337"/>
      <c r="Y76" s="342">
        <v>2</v>
      </c>
      <c r="Z76" s="380"/>
      <c r="AA76" s="343">
        <f>ROUND(E76+G76+I76+J76+K76+L76+M76+N76+O76+R76+S76+T76+U76+W76+X76++Y76,2)</f>
        <v>2</v>
      </c>
      <c r="AB76" s="344">
        <f>AA76*B76</f>
        <v>122.6</v>
      </c>
      <c r="AC76" s="7"/>
      <c r="AD76" s="229">
        <f>AA76+AA175</f>
        <v>3</v>
      </c>
      <c r="AE76" s="7" t="str">
        <f>A76</f>
        <v xml:space="preserve">Хлеб  йод. пш. </v>
      </c>
      <c r="AF76" s="7"/>
      <c r="AG76" s="7"/>
      <c r="AH76" s="7"/>
    </row>
    <row r="77" spans="1:34" ht="16.5" customHeight="1" thickTop="1">
      <c r="A77" s="133"/>
      <c r="B77" s="122"/>
      <c r="C77" s="77" t="s">
        <v>72</v>
      </c>
      <c r="D77" s="295"/>
      <c r="E77" s="106"/>
      <c r="F77" s="112"/>
      <c r="G77" s="113"/>
      <c r="H77" s="112"/>
      <c r="I77" s="106"/>
      <c r="J77" s="669"/>
      <c r="K77" s="268"/>
      <c r="L77" s="106"/>
      <c r="M77" s="106"/>
      <c r="N77" s="106"/>
      <c r="O77" s="106"/>
      <c r="P77" s="106"/>
      <c r="Q77" s="112"/>
      <c r="R77" s="106"/>
      <c r="S77" s="106"/>
      <c r="T77" s="106"/>
      <c r="U77" s="106"/>
      <c r="V77" s="114"/>
      <c r="W77" s="128"/>
      <c r="X77" s="131">
        <f>X78/B25*1000</f>
        <v>185</v>
      </c>
      <c r="Y77" s="106"/>
      <c r="Z77" s="101"/>
      <c r="AA77" s="125"/>
      <c r="AB77" s="123"/>
      <c r="AC77" s="7"/>
      <c r="AD77" s="224"/>
      <c r="AE77" s="7"/>
      <c r="AF77" s="7"/>
      <c r="AG77" s="7"/>
      <c r="AH77" s="7"/>
    </row>
    <row r="78" spans="1:34" ht="18" customHeight="1" thickBot="1">
      <c r="A78" s="346" t="s">
        <v>61</v>
      </c>
      <c r="B78" s="347">
        <v>105</v>
      </c>
      <c r="C78" s="348" t="s">
        <v>73</v>
      </c>
      <c r="D78" s="348"/>
      <c r="E78" s="337"/>
      <c r="F78" s="363"/>
      <c r="G78" s="340"/>
      <c r="H78" s="338"/>
      <c r="I78" s="337"/>
      <c r="J78" s="668"/>
      <c r="K78" s="353"/>
      <c r="L78" s="337"/>
      <c r="M78" s="337"/>
      <c r="N78" s="337"/>
      <c r="O78" s="337"/>
      <c r="P78" s="337"/>
      <c r="Q78" s="338"/>
      <c r="R78" s="337"/>
      <c r="S78" s="337"/>
      <c r="T78" s="337"/>
      <c r="U78" s="337"/>
      <c r="V78" s="381"/>
      <c r="W78" s="340"/>
      <c r="X78" s="341">
        <v>18.5</v>
      </c>
      <c r="Y78" s="337"/>
      <c r="Z78" s="380"/>
      <c r="AA78" s="343">
        <f>ROUND(E78+G78+I78+J78+K78+L78+M78+N78+O78+R78+S78+T78+U78+W78+X78++Y78,2)</f>
        <v>18.5</v>
      </c>
      <c r="AB78" s="344">
        <f>AA78*B78</f>
        <v>1942.5</v>
      </c>
      <c r="AC78" s="7"/>
      <c r="AD78" s="229">
        <f>AA78+AA177</f>
        <v>33.9</v>
      </c>
      <c r="AE78" s="7" t="str">
        <f>A78</f>
        <v>Йогурт</v>
      </c>
      <c r="AF78" s="7"/>
      <c r="AG78" s="7"/>
      <c r="AH78" s="7"/>
    </row>
    <row r="79" spans="1:34" ht="16.5" customHeight="1" thickTop="1">
      <c r="A79" s="133"/>
      <c r="B79" s="122"/>
      <c r="C79" s="77" t="s">
        <v>72</v>
      </c>
      <c r="D79" s="295"/>
      <c r="E79" s="106"/>
      <c r="F79" s="112"/>
      <c r="G79" s="106"/>
      <c r="H79" s="112">
        <v>0.5</v>
      </c>
      <c r="I79" s="128">
        <f>H79/H26*I26</f>
        <v>0.5</v>
      </c>
      <c r="J79" s="971"/>
      <c r="K79" s="268"/>
      <c r="L79" s="106"/>
      <c r="M79" s="106"/>
      <c r="N79" s="106"/>
      <c r="O79" s="251"/>
      <c r="P79" s="106"/>
      <c r="Q79" s="112"/>
      <c r="R79" s="106"/>
      <c r="S79" s="106"/>
      <c r="T79" s="106"/>
      <c r="U79" s="251"/>
      <c r="V79" s="114"/>
      <c r="W79" s="106"/>
      <c r="X79" s="127"/>
      <c r="Y79" s="106"/>
      <c r="Z79" s="101"/>
      <c r="AA79" s="125"/>
      <c r="AB79" s="123"/>
      <c r="AC79" s="7"/>
      <c r="AD79" s="224"/>
      <c r="AE79" s="7"/>
      <c r="AF79" s="7"/>
      <c r="AG79" s="7"/>
      <c r="AH79" s="7"/>
    </row>
    <row r="80" spans="1:34" ht="18" customHeight="1" thickBot="1">
      <c r="A80" s="346" t="s">
        <v>29</v>
      </c>
      <c r="B80" s="347">
        <v>500</v>
      </c>
      <c r="C80" s="348" t="s">
        <v>73</v>
      </c>
      <c r="D80" s="348"/>
      <c r="E80" s="337"/>
      <c r="F80" s="338"/>
      <c r="G80" s="337"/>
      <c r="H80" s="338">
        <f>H79*H25/1000</f>
        <v>0.05</v>
      </c>
      <c r="I80" s="357">
        <f>H80</f>
        <v>0.05</v>
      </c>
      <c r="J80" s="668"/>
      <c r="K80" s="353"/>
      <c r="L80" s="337"/>
      <c r="M80" s="337"/>
      <c r="N80" s="337"/>
      <c r="O80" s="358"/>
      <c r="P80" s="337"/>
      <c r="Q80" s="338"/>
      <c r="R80" s="337"/>
      <c r="S80" s="337"/>
      <c r="T80" s="337"/>
      <c r="U80" s="358"/>
      <c r="V80" s="381"/>
      <c r="W80" s="337"/>
      <c r="X80" s="355"/>
      <c r="Y80" s="337"/>
      <c r="Z80" s="380"/>
      <c r="AA80" s="356">
        <f>ROUND(E80+G80+I80+J80+K80+L80+M80+N80+O80+R80+S80+T80+U80+W80+X80++Y80,3)</f>
        <v>0.05</v>
      </c>
      <c r="AB80" s="344">
        <f>AA80*B80</f>
        <v>25</v>
      </c>
      <c r="AC80" s="7"/>
      <c r="AD80" s="230">
        <f>AA80+AA179</f>
        <v>0.08</v>
      </c>
      <c r="AE80" s="7" t="str">
        <f>A80</f>
        <v>Чай</v>
      </c>
      <c r="AF80" s="7"/>
      <c r="AG80" s="7"/>
      <c r="AH80" s="7"/>
    </row>
    <row r="81" spans="1:34" ht="18" customHeight="1" thickTop="1">
      <c r="A81" s="133"/>
      <c r="B81" s="122"/>
      <c r="C81" s="77" t="s">
        <v>72</v>
      </c>
      <c r="D81" s="295"/>
      <c r="E81" s="106"/>
      <c r="F81" s="112"/>
      <c r="G81" s="106"/>
      <c r="H81" s="112"/>
      <c r="I81" s="128"/>
      <c r="J81" s="669"/>
      <c r="K81" s="268"/>
      <c r="L81" s="114"/>
      <c r="M81" s="114"/>
      <c r="N81" s="106"/>
      <c r="O81" s="251"/>
      <c r="P81" s="106"/>
      <c r="Q81" s="112"/>
      <c r="R81" s="127"/>
      <c r="S81" s="106"/>
      <c r="T81" s="106"/>
      <c r="U81" s="251"/>
      <c r="V81" s="113">
        <f>3/100*V26</f>
        <v>3</v>
      </c>
      <c r="W81" s="129">
        <f>V81/V26*W26</f>
        <v>3</v>
      </c>
      <c r="X81" s="106"/>
      <c r="Y81" s="106"/>
      <c r="Z81" s="101"/>
      <c r="AA81" s="125"/>
      <c r="AB81" s="123"/>
      <c r="AC81" s="7"/>
      <c r="AD81" s="224"/>
      <c r="AE81" s="7"/>
      <c r="AF81" s="7"/>
      <c r="AG81" s="7"/>
      <c r="AH81" s="7"/>
    </row>
    <row r="82" spans="1:34" ht="18" customHeight="1" thickBot="1">
      <c r="A82" s="346" t="s">
        <v>20</v>
      </c>
      <c r="B82" s="347">
        <v>227</v>
      </c>
      <c r="C82" s="348" t="s">
        <v>73</v>
      </c>
      <c r="D82" s="348"/>
      <c r="E82" s="337"/>
      <c r="F82" s="338"/>
      <c r="G82" s="337"/>
      <c r="H82" s="349"/>
      <c r="I82" s="339"/>
      <c r="J82" s="668"/>
      <c r="K82" s="353"/>
      <c r="L82" s="342"/>
      <c r="M82" s="342"/>
      <c r="N82" s="337"/>
      <c r="O82" s="358"/>
      <c r="P82" s="337"/>
      <c r="Q82" s="338"/>
      <c r="R82" s="340"/>
      <c r="S82" s="337"/>
      <c r="T82" s="337"/>
      <c r="U82" s="358"/>
      <c r="V82" s="378">
        <f>V81*F25/1000</f>
        <v>0.3</v>
      </c>
      <c r="W82" s="341">
        <f>V82</f>
        <v>0.3</v>
      </c>
      <c r="X82" s="337"/>
      <c r="Y82" s="337"/>
      <c r="Z82" s="380"/>
      <c r="AA82" s="343">
        <f>ROUND(E82+G82+I82+J82+K82+L82+M82+N82+O82+R82+S82+T82+U82+W82+X82++Y82,2)</f>
        <v>0.3</v>
      </c>
      <c r="AB82" s="344">
        <f>AA82*B82</f>
        <v>68.099999999999994</v>
      </c>
      <c r="AC82" s="7"/>
      <c r="AD82" s="230">
        <f>AA82+AA181</f>
        <v>0.54</v>
      </c>
      <c r="AE82" s="7" t="str">
        <f>A82</f>
        <v>Сметана</v>
      </c>
      <c r="AF82" s="7"/>
      <c r="AG82" s="7"/>
      <c r="AH82" s="7"/>
    </row>
    <row r="83" spans="1:34" ht="18" customHeight="1" thickTop="1">
      <c r="A83" s="133"/>
      <c r="B83" s="122"/>
      <c r="C83" s="77" t="s">
        <v>72</v>
      </c>
      <c r="D83" s="295"/>
      <c r="E83" s="106"/>
      <c r="F83" s="112"/>
      <c r="G83" s="106"/>
      <c r="H83" s="112"/>
      <c r="I83" s="106"/>
      <c r="J83" s="669"/>
      <c r="K83" s="268"/>
      <c r="L83" s="106"/>
      <c r="M83" s="106"/>
      <c r="N83" s="106"/>
      <c r="O83" s="250">
        <v>2.2999999999999998</v>
      </c>
      <c r="P83" s="106"/>
      <c r="Q83" s="112"/>
      <c r="R83" s="129"/>
      <c r="S83" s="106"/>
      <c r="T83" s="106"/>
      <c r="U83" s="250"/>
      <c r="V83" s="128"/>
      <c r="W83" s="106"/>
      <c r="X83" s="106"/>
      <c r="Y83" s="106"/>
      <c r="Z83" s="101"/>
      <c r="AA83" s="125"/>
      <c r="AB83" s="123"/>
      <c r="AC83" s="7"/>
      <c r="AD83" s="224"/>
      <c r="AE83" s="7"/>
      <c r="AF83" s="7"/>
      <c r="AG83" s="7"/>
      <c r="AH83" s="7"/>
    </row>
    <row r="84" spans="1:34" ht="18" customHeight="1" thickBot="1">
      <c r="A84" s="346" t="s">
        <v>99</v>
      </c>
      <c r="B84" s="347">
        <v>370</v>
      </c>
      <c r="C84" s="348" t="s">
        <v>73</v>
      </c>
      <c r="D84" s="348"/>
      <c r="E84" s="337"/>
      <c r="F84" s="338"/>
      <c r="G84" s="337"/>
      <c r="H84" s="338"/>
      <c r="I84" s="337"/>
      <c r="J84" s="668"/>
      <c r="K84" s="353"/>
      <c r="L84" s="337"/>
      <c r="M84" s="337"/>
      <c r="N84" s="340"/>
      <c r="O84" s="339">
        <f>ROUND(O83*B25/1000,2)</f>
        <v>0.23</v>
      </c>
      <c r="P84" s="337"/>
      <c r="Q84" s="349"/>
      <c r="R84" s="340"/>
      <c r="S84" s="337"/>
      <c r="T84" s="337"/>
      <c r="U84" s="350"/>
      <c r="V84" s="350"/>
      <c r="W84" s="337"/>
      <c r="X84" s="337"/>
      <c r="Y84" s="337"/>
      <c r="Z84" s="380"/>
      <c r="AA84" s="343">
        <f>ROUND(E84+G84+I84+J84+K84+L84+M84+N84+O84+R84+S84+T84+U84+W84+X84++Y84,2)</f>
        <v>0.23</v>
      </c>
      <c r="AB84" s="344">
        <f>AA84*B84</f>
        <v>85.100000000000009</v>
      </c>
      <c r="AC84" s="7"/>
      <c r="AD84" s="229">
        <f>AA84+AA183</f>
        <v>0.23</v>
      </c>
      <c r="AE84" s="7" t="str">
        <f>A84</f>
        <v>Томатная паста</v>
      </c>
      <c r="AF84" s="7"/>
      <c r="AG84" s="7"/>
      <c r="AH84" s="7"/>
    </row>
    <row r="85" spans="1:34" ht="18" customHeight="1" thickTop="1">
      <c r="A85" s="133"/>
      <c r="B85" s="122"/>
      <c r="C85" s="77" t="s">
        <v>72</v>
      </c>
      <c r="D85" s="295"/>
      <c r="E85" s="105"/>
      <c r="F85" s="112"/>
      <c r="G85" s="105"/>
      <c r="H85" s="112"/>
      <c r="I85" s="105"/>
      <c r="J85" s="669"/>
      <c r="K85" s="271"/>
      <c r="L85" s="184">
        <f>L86/B25*1000</f>
        <v>180</v>
      </c>
      <c r="M85" s="105"/>
      <c r="N85" s="105"/>
      <c r="O85" s="105"/>
      <c r="P85" s="105"/>
      <c r="Q85" s="112"/>
      <c r="R85" s="105"/>
      <c r="S85" s="127"/>
      <c r="T85" s="105"/>
      <c r="U85" s="612"/>
      <c r="V85" s="143"/>
      <c r="W85" s="127"/>
      <c r="X85" s="127"/>
      <c r="Y85" s="105"/>
      <c r="Z85" s="101"/>
      <c r="AA85" s="125"/>
      <c r="AB85" s="123"/>
      <c r="AC85" s="7"/>
      <c r="AD85" s="224"/>
      <c r="AE85" s="7"/>
      <c r="AF85" s="7"/>
      <c r="AG85" s="7"/>
      <c r="AH85" s="7"/>
    </row>
    <row r="86" spans="1:34" ht="18" customHeight="1" thickBot="1">
      <c r="A86" s="346" t="s">
        <v>241</v>
      </c>
      <c r="B86" s="347">
        <v>33.61</v>
      </c>
      <c r="C86" s="348" t="s">
        <v>73</v>
      </c>
      <c r="D86" s="348"/>
      <c r="E86" s="337"/>
      <c r="F86" s="338"/>
      <c r="G86" s="337"/>
      <c r="H86" s="338"/>
      <c r="I86" s="337"/>
      <c r="J86" s="668"/>
      <c r="K86" s="353"/>
      <c r="L86" s="590">
        <v>18</v>
      </c>
      <c r="M86" s="337"/>
      <c r="N86" s="337"/>
      <c r="O86" s="337"/>
      <c r="P86" s="337"/>
      <c r="Q86" s="338"/>
      <c r="R86" s="337"/>
      <c r="S86" s="357"/>
      <c r="T86" s="337"/>
      <c r="U86" s="358"/>
      <c r="V86" s="381"/>
      <c r="W86" s="355"/>
      <c r="X86" s="355"/>
      <c r="Y86" s="337"/>
      <c r="Z86" s="380"/>
      <c r="AA86" s="356">
        <f>ROUND(E86+G86+I86+J86+K86+L86+M86+N86+O86+R86+S86+T86+U86+W86+X86++Y86,3)</f>
        <v>18</v>
      </c>
      <c r="AB86" s="344">
        <f>AA86*B86</f>
        <v>604.98</v>
      </c>
      <c r="AC86" s="7"/>
      <c r="AD86" s="230">
        <f>AA86+AA185</f>
        <v>33</v>
      </c>
      <c r="AE86" s="7" t="str">
        <f>A86</f>
        <v>Сок фр.</v>
      </c>
      <c r="AF86" s="7"/>
      <c r="AG86" s="7"/>
      <c r="AH86" s="7"/>
    </row>
    <row r="87" spans="1:34" ht="18" customHeight="1" thickTop="1">
      <c r="A87" s="133"/>
      <c r="B87" s="122"/>
      <c r="C87" s="77" t="s">
        <v>72</v>
      </c>
      <c r="D87" s="295"/>
      <c r="E87" s="106"/>
      <c r="F87" s="112"/>
      <c r="G87" s="106"/>
      <c r="H87" s="112"/>
      <c r="I87" s="106"/>
      <c r="J87" s="669"/>
      <c r="K87" s="268"/>
      <c r="L87" s="106"/>
      <c r="M87" s="127"/>
      <c r="N87" s="106"/>
      <c r="O87" s="106"/>
      <c r="P87" s="106"/>
      <c r="Q87" s="112"/>
      <c r="R87" s="106"/>
      <c r="S87" s="106"/>
      <c r="T87" s="106"/>
      <c r="U87" s="250"/>
      <c r="V87" s="113"/>
      <c r="W87" s="113"/>
      <c r="X87" s="106"/>
      <c r="Y87" s="106"/>
      <c r="Z87" s="101"/>
      <c r="AA87" s="125"/>
      <c r="AB87" s="123"/>
      <c r="AC87" s="7"/>
      <c r="AD87" s="224"/>
      <c r="AE87" s="7"/>
      <c r="AF87" s="7"/>
      <c r="AG87" s="7"/>
      <c r="AH87" s="7"/>
    </row>
    <row r="88" spans="1:34" ht="18" customHeight="1" thickBot="1">
      <c r="A88" s="346"/>
      <c r="B88" s="347"/>
      <c r="C88" s="348" t="s">
        <v>73</v>
      </c>
      <c r="D88" s="348"/>
      <c r="E88" s="337"/>
      <c r="F88" s="338"/>
      <c r="G88" s="337"/>
      <c r="H88" s="338"/>
      <c r="I88" s="337"/>
      <c r="J88" s="668"/>
      <c r="K88" s="353"/>
      <c r="L88" s="337"/>
      <c r="M88" s="341"/>
      <c r="N88" s="337"/>
      <c r="O88" s="337"/>
      <c r="P88" s="337"/>
      <c r="Q88" s="338"/>
      <c r="R88" s="337"/>
      <c r="S88" s="337"/>
      <c r="T88" s="337"/>
      <c r="U88" s="340"/>
      <c r="V88" s="378"/>
      <c r="W88" s="367"/>
      <c r="X88" s="337"/>
      <c r="Y88" s="337"/>
      <c r="Z88" s="380"/>
      <c r="AA88" s="343">
        <f>ROUND(E88+G88+I88+J88+K88+L88+M88+N88+O88+R88+S88+T88+U88+W88+X88++Y88,2)</f>
        <v>0</v>
      </c>
      <c r="AB88" s="344">
        <f>AA88*B88</f>
        <v>0</v>
      </c>
      <c r="AC88" s="7"/>
      <c r="AD88" s="230">
        <f>AA88+AA187</f>
        <v>0</v>
      </c>
      <c r="AE88" s="7">
        <f>A88</f>
        <v>0</v>
      </c>
      <c r="AF88" s="7"/>
      <c r="AG88" s="7"/>
      <c r="AH88" s="7"/>
    </row>
    <row r="89" spans="1:34" ht="18" customHeight="1" thickTop="1">
      <c r="A89" s="133"/>
      <c r="B89" s="122"/>
      <c r="C89" s="77" t="s">
        <v>72</v>
      </c>
      <c r="D89" s="295"/>
      <c r="E89" s="106"/>
      <c r="F89" s="112">
        <v>0.5</v>
      </c>
      <c r="G89" s="114">
        <f>F89/F26*G26</f>
        <v>0.5</v>
      </c>
      <c r="H89" s="112"/>
      <c r="I89" s="106"/>
      <c r="J89" s="669"/>
      <c r="K89" s="268"/>
      <c r="L89" s="106"/>
      <c r="M89" s="127"/>
      <c r="N89" s="106">
        <v>0.5</v>
      </c>
      <c r="O89" s="106">
        <v>1.3</v>
      </c>
      <c r="P89" s="106"/>
      <c r="Q89" s="112">
        <v>0.2</v>
      </c>
      <c r="R89" s="114">
        <f>Q89/Q26*R26</f>
        <v>0.2</v>
      </c>
      <c r="S89" s="106"/>
      <c r="T89" s="106"/>
      <c r="U89" s="972"/>
      <c r="V89" s="113">
        <v>0.2</v>
      </c>
      <c r="W89" s="113">
        <f>V89/V26*W26</f>
        <v>0.2</v>
      </c>
      <c r="X89" s="106"/>
      <c r="Y89" s="106"/>
      <c r="Z89" s="101"/>
      <c r="AA89" s="125"/>
      <c r="AB89" s="123"/>
      <c r="AC89" s="7"/>
      <c r="AD89" s="224"/>
      <c r="AE89" s="7"/>
      <c r="AF89" s="7"/>
      <c r="AG89" s="7"/>
      <c r="AH89" s="7"/>
    </row>
    <row r="90" spans="1:34" ht="18" customHeight="1" thickBot="1">
      <c r="A90" s="346" t="s">
        <v>138</v>
      </c>
      <c r="B90" s="347">
        <v>28</v>
      </c>
      <c r="C90" s="348" t="s">
        <v>73</v>
      </c>
      <c r="D90" s="348"/>
      <c r="E90" s="337"/>
      <c r="F90" s="349">
        <f>F89*F25/1000</f>
        <v>0.05</v>
      </c>
      <c r="G90" s="339">
        <f>ROUND(F90,2)</f>
        <v>0.05</v>
      </c>
      <c r="H90" s="349"/>
      <c r="I90" s="381"/>
      <c r="J90" s="569"/>
      <c r="K90" s="553"/>
      <c r="L90" s="381"/>
      <c r="M90" s="341">
        <f>M89*B25/1000</f>
        <v>0</v>
      </c>
      <c r="N90" s="339">
        <f>N89*B25/1000</f>
        <v>0.05</v>
      </c>
      <c r="O90" s="339">
        <f>O89*B25/1000</f>
        <v>0.13</v>
      </c>
      <c r="P90" s="381"/>
      <c r="Q90" s="349">
        <f>Q89*Q25/1000</f>
        <v>0.02</v>
      </c>
      <c r="R90" s="339">
        <f>ROUND(Q90,2)</f>
        <v>0.02</v>
      </c>
      <c r="S90" s="337"/>
      <c r="T90" s="337"/>
      <c r="U90" s="420"/>
      <c r="V90" s="378">
        <f>V89*F25/1000</f>
        <v>0.02</v>
      </c>
      <c r="W90" s="341">
        <f>ROUND(V90,2)</f>
        <v>0.02</v>
      </c>
      <c r="X90" s="337"/>
      <c r="Y90" s="337"/>
      <c r="Z90" s="380"/>
      <c r="AA90" s="343">
        <f>ROUND(E90+G90+I90+J90+K90+L90+M90+N90+O90+R90+S90+T90+U90+W90+X90++Y90,2)</f>
        <v>0.27</v>
      </c>
      <c r="AB90" s="344">
        <f>AA90*B90</f>
        <v>7.5600000000000005</v>
      </c>
      <c r="AC90" s="7"/>
      <c r="AD90" s="234">
        <f>AA90+AA189</f>
        <v>0.52</v>
      </c>
      <c r="AE90" s="7" t="str">
        <f>A90</f>
        <v>Соль иодиров.</v>
      </c>
      <c r="AF90" s="7"/>
      <c r="AG90" s="7"/>
      <c r="AH90" s="7"/>
    </row>
    <row r="91" spans="1:34" ht="18" customHeight="1" thickTop="1">
      <c r="A91" s="133"/>
      <c r="B91" s="122"/>
      <c r="C91" s="77" t="s">
        <v>72</v>
      </c>
      <c r="D91" s="295"/>
      <c r="E91" s="106"/>
      <c r="F91" s="112"/>
      <c r="G91" s="106"/>
      <c r="H91" s="112"/>
      <c r="I91" s="106"/>
      <c r="J91" s="669"/>
      <c r="K91" s="268"/>
      <c r="L91" s="184"/>
      <c r="M91" s="106"/>
      <c r="N91" s="106"/>
      <c r="O91" s="127"/>
      <c r="P91" s="106"/>
      <c r="Q91" s="112"/>
      <c r="R91" s="113"/>
      <c r="S91" s="106"/>
      <c r="T91" s="106"/>
      <c r="U91" s="127"/>
      <c r="V91" s="113"/>
      <c r="W91" s="129"/>
      <c r="X91" s="106"/>
      <c r="Y91" s="106"/>
      <c r="Z91" s="101"/>
      <c r="AA91" s="125"/>
      <c r="AB91" s="123"/>
      <c r="AC91" s="7"/>
      <c r="AD91" s="7"/>
      <c r="AE91" s="7"/>
      <c r="AF91" s="7"/>
      <c r="AG91" s="7"/>
      <c r="AH91" s="7"/>
    </row>
    <row r="92" spans="1:34" ht="18" customHeight="1" thickBot="1">
      <c r="A92" s="346"/>
      <c r="B92" s="347"/>
      <c r="C92" s="348" t="s">
        <v>73</v>
      </c>
      <c r="D92" s="348"/>
      <c r="E92" s="337"/>
      <c r="F92" s="338"/>
      <c r="G92" s="337"/>
      <c r="H92" s="338"/>
      <c r="I92" s="337"/>
      <c r="J92" s="668"/>
      <c r="K92" s="353"/>
      <c r="L92" s="590"/>
      <c r="M92" s="337"/>
      <c r="N92" s="337"/>
      <c r="O92" s="340"/>
      <c r="P92" s="358"/>
      <c r="Q92" s="349"/>
      <c r="R92" s="340"/>
      <c r="S92" s="337"/>
      <c r="T92" s="337"/>
      <c r="U92" s="350"/>
      <c r="V92" s="378"/>
      <c r="W92" s="341"/>
      <c r="X92" s="337"/>
      <c r="Y92" s="337"/>
      <c r="Z92" s="380"/>
      <c r="AA92" s="343">
        <f>ROUND(E92+G92+I92+J92+K92+L92+M92+N92+O92+R92+S92+T92+U92+W92+X92++Y92,2)</f>
        <v>0</v>
      </c>
      <c r="AB92" s="344">
        <f>AA92*B92</f>
        <v>0</v>
      </c>
      <c r="AC92" s="7"/>
      <c r="AD92" s="235">
        <f>AA92+AA191</f>
        <v>0</v>
      </c>
      <c r="AE92" s="7">
        <f>A92</f>
        <v>0</v>
      </c>
      <c r="AF92" s="7"/>
      <c r="AG92" s="7"/>
      <c r="AH92" s="7"/>
    </row>
    <row r="93" spans="1:34" ht="18" customHeight="1" thickTop="1">
      <c r="A93" s="133"/>
      <c r="B93" s="122"/>
      <c r="C93" s="77" t="s">
        <v>72</v>
      </c>
      <c r="D93" s="295"/>
      <c r="E93" s="106"/>
      <c r="F93" s="112"/>
      <c r="G93" s="113"/>
      <c r="H93" s="112"/>
      <c r="I93" s="106"/>
      <c r="J93" s="669"/>
      <c r="K93" s="268"/>
      <c r="L93" s="106"/>
      <c r="M93" s="106"/>
      <c r="N93" s="106"/>
      <c r="O93" s="106"/>
      <c r="P93" s="106"/>
      <c r="Q93" s="112"/>
      <c r="R93" s="106"/>
      <c r="S93" s="106"/>
      <c r="T93" s="106"/>
      <c r="U93" s="106"/>
      <c r="V93" s="114"/>
      <c r="W93" s="128"/>
      <c r="X93" s="131"/>
      <c r="Y93" s="106"/>
      <c r="Z93" s="101"/>
      <c r="AA93" s="125"/>
      <c r="AB93" s="123"/>
      <c r="AC93" s="7"/>
      <c r="AD93" s="7"/>
      <c r="AE93" s="7"/>
      <c r="AF93" s="7"/>
      <c r="AG93" s="7"/>
      <c r="AH93" s="7"/>
    </row>
    <row r="94" spans="1:34" ht="18" customHeight="1" thickBot="1">
      <c r="A94" s="346"/>
      <c r="B94" s="347"/>
      <c r="C94" s="348" t="s">
        <v>73</v>
      </c>
      <c r="D94" s="348"/>
      <c r="E94" s="337"/>
      <c r="F94" s="363"/>
      <c r="G94" s="340"/>
      <c r="H94" s="338"/>
      <c r="I94" s="337"/>
      <c r="J94" s="668"/>
      <c r="K94" s="353"/>
      <c r="L94" s="337"/>
      <c r="M94" s="337"/>
      <c r="N94" s="337"/>
      <c r="O94" s="337"/>
      <c r="P94" s="337"/>
      <c r="Q94" s="338"/>
      <c r="R94" s="337"/>
      <c r="S94" s="337"/>
      <c r="T94" s="337"/>
      <c r="U94" s="337"/>
      <c r="V94" s="381"/>
      <c r="W94" s="340"/>
      <c r="X94" s="341"/>
      <c r="Y94" s="337"/>
      <c r="Z94" s="380"/>
      <c r="AA94" s="343">
        <f>ROUND(E94+G94+I94+J94+K94+L94+M94+N94+O94+R94+S94+T94+U94+W94+X94++Y94,2)</f>
        <v>0</v>
      </c>
      <c r="AB94" s="344">
        <f>AA94*B94</f>
        <v>0</v>
      </c>
      <c r="AC94" s="7"/>
      <c r="AD94" s="235">
        <f>AA94+AA193</f>
        <v>0</v>
      </c>
      <c r="AE94" s="7">
        <f>A94</f>
        <v>0</v>
      </c>
      <c r="AF94" s="7"/>
      <c r="AG94" s="7"/>
      <c r="AH94" s="7"/>
    </row>
    <row r="95" spans="1:34" ht="18" customHeight="1">
      <c r="A95" s="136"/>
      <c r="B95" s="6"/>
      <c r="C95" s="75"/>
      <c r="D95" s="75"/>
      <c r="E95" s="105"/>
      <c r="F95" s="112"/>
      <c r="G95" s="105"/>
      <c r="H95" s="112"/>
      <c r="I95" s="105"/>
      <c r="J95" s="669"/>
      <c r="K95" s="271"/>
      <c r="L95" s="105"/>
      <c r="M95" s="105"/>
      <c r="N95" s="105"/>
      <c r="O95" s="105"/>
      <c r="P95" s="105"/>
      <c r="Q95" s="112"/>
      <c r="R95" s="105"/>
      <c r="S95" s="105"/>
      <c r="T95" s="105"/>
      <c r="U95" s="105"/>
      <c r="V95" s="105"/>
      <c r="W95" s="105"/>
      <c r="X95" s="105"/>
      <c r="Y95" s="105"/>
      <c r="Z95" s="101"/>
      <c r="AA95" s="125"/>
      <c r="AB95" s="126">
        <f>AB28+AB30+AB32+AB34+AB36+AB38+AB40+AB42+AB44+AB46+AB48+AB50+AB52+AB62+AB64+AB66+AB68+AB70+AB72+AB74+AB76+AB78+AB80+AB82+AB84+AB86+AB88+AB90+AB92+AB94</f>
        <v>12602.172999999999</v>
      </c>
      <c r="AC95" s="7"/>
      <c r="AD95" s="7"/>
      <c r="AE95" s="7"/>
      <c r="AF95" s="7"/>
      <c r="AG95" s="7"/>
      <c r="AH95" s="7"/>
    </row>
    <row r="96" spans="1:34" ht="9.75" customHeight="1"/>
    <row r="97" spans="1:28">
      <c r="A97" s="43" t="s">
        <v>315</v>
      </c>
      <c r="S97" s="43" t="s">
        <v>30</v>
      </c>
      <c r="AB97" s="118">
        <f>K13</f>
        <v>11000</v>
      </c>
    </row>
    <row r="98" spans="1:28" ht="9" customHeight="1">
      <c r="A98" s="43" t="s">
        <v>50</v>
      </c>
      <c r="S98" s="43" t="s">
        <v>31</v>
      </c>
    </row>
    <row r="99" spans="1:28" ht="19.5" customHeight="1">
      <c r="A99" s="43" t="s">
        <v>323</v>
      </c>
      <c r="S99" s="43" t="s">
        <v>32</v>
      </c>
    </row>
    <row r="100" spans="1:28" ht="9" customHeight="1">
      <c r="A100" s="43" t="s">
        <v>37</v>
      </c>
      <c r="S100" s="43" t="s">
        <v>31</v>
      </c>
    </row>
    <row r="101" spans="1:28">
      <c r="A101" s="3" t="s">
        <v>321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W101" s="10"/>
      <c r="X101" s="10"/>
      <c r="Y101" s="10"/>
      <c r="Z101" s="10"/>
      <c r="AA101" s="11"/>
      <c r="AB101" s="11"/>
    </row>
    <row r="102" spans="1:28" ht="18">
      <c r="A102" s="9" t="s">
        <v>2</v>
      </c>
      <c r="B102" s="8"/>
      <c r="C102" s="8"/>
      <c r="D102" s="8"/>
      <c r="E102" s="8"/>
      <c r="F102" s="11"/>
      <c r="G102" s="8"/>
      <c r="H102" s="8"/>
      <c r="I102" s="8"/>
      <c r="J102" s="8"/>
      <c r="K102" s="8"/>
      <c r="L102" s="8"/>
      <c r="M102" s="8"/>
      <c r="N102" s="8"/>
      <c r="O102" s="8"/>
      <c r="P102" s="1060" t="s">
        <v>80</v>
      </c>
      <c r="Q102" s="1060"/>
      <c r="R102" s="1060"/>
      <c r="S102" s="1060"/>
      <c r="T102" s="1060"/>
      <c r="U102" s="1060"/>
      <c r="V102" s="1060"/>
      <c r="W102" s="1060"/>
      <c r="X102" s="1060"/>
      <c r="Y102" s="1060"/>
      <c r="Z102" s="1060"/>
      <c r="AA102" s="1060"/>
      <c r="AB102" s="1060"/>
    </row>
    <row r="103" spans="1:28" ht="18.75">
      <c r="A103" s="757" t="str">
        <f>A4</f>
        <v>"08"   января  2024  г.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"/>
    </row>
    <row r="104" spans="1:28" ht="2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3"/>
      <c r="N104" s="2"/>
      <c r="O104" s="3"/>
      <c r="P104" s="2"/>
      <c r="Q104" s="2"/>
      <c r="R104" s="2"/>
      <c r="S104" s="2"/>
      <c r="T104" s="1"/>
      <c r="U104" s="7"/>
      <c r="V104" s="7"/>
      <c r="W104" s="7"/>
      <c r="X104" s="7"/>
      <c r="Y104" s="7"/>
      <c r="Z104" s="7"/>
    </row>
    <row r="105" spans="1:28" ht="13.5" thickBot="1">
      <c r="A105" s="1048" t="s">
        <v>42</v>
      </c>
      <c r="B105" s="1048"/>
      <c r="C105" s="1048"/>
      <c r="D105" s="729"/>
      <c r="E105" s="1047" t="s">
        <v>35</v>
      </c>
      <c r="F105" s="1048"/>
      <c r="G105" s="1049"/>
      <c r="H105" s="1047" t="s">
        <v>60</v>
      </c>
      <c r="I105" s="1048"/>
      <c r="J105" s="1049"/>
      <c r="K105" s="1047" t="s">
        <v>58</v>
      </c>
      <c r="L105" s="1048"/>
      <c r="M105" s="1048"/>
      <c r="N105" s="1048"/>
      <c r="O105" s="31"/>
      <c r="P105" s="21"/>
      <c r="Q105" s="31"/>
      <c r="R105" s="21"/>
      <c r="S105" s="3"/>
      <c r="T105" s="7"/>
      <c r="U105" s="7"/>
      <c r="V105" s="7"/>
      <c r="W105" s="7"/>
      <c r="X105" s="7"/>
      <c r="Y105" s="7"/>
      <c r="Z105" s="7"/>
      <c r="AA105" s="1088" t="s">
        <v>0</v>
      </c>
      <c r="AB105" s="1089"/>
    </row>
    <row r="106" spans="1:28" ht="8.25" customHeight="1">
      <c r="A106" s="1059" t="s">
        <v>43</v>
      </c>
      <c r="B106" s="1059"/>
      <c r="C106" s="1059"/>
      <c r="D106" s="726"/>
      <c r="E106" s="1065" t="s">
        <v>34</v>
      </c>
      <c r="F106" s="1066"/>
      <c r="G106" s="1067"/>
      <c r="H106" s="1065" t="s">
        <v>12</v>
      </c>
      <c r="I106" s="1066"/>
      <c r="J106" s="1067"/>
      <c r="K106" s="1065" t="s">
        <v>15</v>
      </c>
      <c r="L106" s="1066"/>
      <c r="M106" s="1066"/>
      <c r="N106" s="1108"/>
      <c r="O106" s="1065" t="s">
        <v>14</v>
      </c>
      <c r="P106" s="1067"/>
      <c r="Q106" s="1065" t="s">
        <v>55</v>
      </c>
      <c r="R106" s="1067"/>
      <c r="S106" s="1106" t="str">
        <f>S7</f>
        <v>на "09" января  2024 г</v>
      </c>
      <c r="T106" s="1138"/>
      <c r="U106" s="1138"/>
      <c r="V106" s="1138"/>
      <c r="W106" s="1138"/>
      <c r="X106" s="1138"/>
      <c r="Y106" s="1094" t="s">
        <v>190</v>
      </c>
      <c r="Z106" s="1111"/>
      <c r="AA106" s="1090" t="s">
        <v>23</v>
      </c>
      <c r="AB106" s="1091"/>
    </row>
    <row r="107" spans="1:28" ht="8.25" customHeight="1" thickBot="1">
      <c r="A107" s="730" t="s">
        <v>44</v>
      </c>
      <c r="B107" s="1047" t="s">
        <v>46</v>
      </c>
      <c r="C107" s="1048"/>
      <c r="D107" s="726"/>
      <c r="E107" s="1065" t="s">
        <v>39</v>
      </c>
      <c r="F107" s="1066"/>
      <c r="G107" s="1067"/>
      <c r="H107" s="1065" t="s">
        <v>49</v>
      </c>
      <c r="I107" s="1066"/>
      <c r="J107" s="1067"/>
      <c r="K107" s="1065" t="s">
        <v>59</v>
      </c>
      <c r="L107" s="1066"/>
      <c r="M107" s="1066"/>
      <c r="N107" s="1066"/>
      <c r="O107" s="1065" t="s">
        <v>40</v>
      </c>
      <c r="P107" s="1067"/>
      <c r="Q107" s="1065" t="s">
        <v>56</v>
      </c>
      <c r="R107" s="1067"/>
      <c r="S107" s="1138"/>
      <c r="T107" s="1138"/>
      <c r="U107" s="1138"/>
      <c r="V107" s="1138"/>
      <c r="W107" s="1138"/>
      <c r="X107" s="1138"/>
      <c r="Y107" s="700"/>
      <c r="AA107" s="53"/>
      <c r="AB107" s="55"/>
    </row>
    <row r="108" spans="1:28" ht="13.5" thickBot="1">
      <c r="A108" s="727" t="s">
        <v>45</v>
      </c>
      <c r="B108" s="1065" t="s">
        <v>47</v>
      </c>
      <c r="C108" s="1108"/>
      <c r="D108" s="725"/>
      <c r="E108" s="1065" t="s">
        <v>38</v>
      </c>
      <c r="F108" s="1066"/>
      <c r="G108" s="1067"/>
      <c r="H108" s="1065" t="s">
        <v>13</v>
      </c>
      <c r="I108" s="1066"/>
      <c r="J108" s="1067"/>
      <c r="K108" s="1065" t="s">
        <v>38</v>
      </c>
      <c r="L108" s="1066"/>
      <c r="M108" s="1066"/>
      <c r="N108" s="1066"/>
      <c r="O108" s="25"/>
      <c r="P108" s="3"/>
      <c r="Q108" s="1065" t="s">
        <v>57</v>
      </c>
      <c r="R108" s="1067"/>
      <c r="S108" s="3" t="s">
        <v>194</v>
      </c>
      <c r="T108" s="548"/>
      <c r="U108" s="548"/>
      <c r="V108" s="120"/>
      <c r="W108" s="120"/>
      <c r="X108" s="120"/>
      <c r="Y108" s="700" t="s">
        <v>191</v>
      </c>
      <c r="Z108" s="700" t="s">
        <v>191</v>
      </c>
      <c r="AA108" s="701"/>
      <c r="AB108" s="708"/>
    </row>
    <row r="109" spans="1:28" ht="6" customHeight="1">
      <c r="A109" s="17"/>
      <c r="B109" s="1058" t="s">
        <v>48</v>
      </c>
      <c r="C109" s="1059"/>
      <c r="D109" s="726"/>
      <c r="E109" s="723"/>
      <c r="F109" s="3"/>
      <c r="G109" s="30"/>
      <c r="H109" s="3"/>
      <c r="I109" s="3"/>
      <c r="J109" s="30"/>
      <c r="K109" s="1058"/>
      <c r="L109" s="1059"/>
      <c r="M109" s="1059"/>
      <c r="N109" s="1059"/>
      <c r="O109" s="25"/>
      <c r="P109" s="3"/>
      <c r="Q109" s="25"/>
      <c r="R109" s="17"/>
      <c r="T109" s="709" t="s">
        <v>96</v>
      </c>
      <c r="Y109" s="699" t="s">
        <v>199</v>
      </c>
      <c r="Z109" s="32"/>
      <c r="AA109" s="702"/>
      <c r="AB109" s="703"/>
    </row>
    <row r="110" spans="1:28" ht="9" customHeight="1" thickBot="1">
      <c r="A110" s="58">
        <v>1</v>
      </c>
      <c r="B110" s="62"/>
      <c r="C110" s="63">
        <v>2</v>
      </c>
      <c r="D110" s="292"/>
      <c r="E110" s="731"/>
      <c r="F110" s="731">
        <v>3</v>
      </c>
      <c r="G110" s="733"/>
      <c r="H110" s="731"/>
      <c r="I110" s="731">
        <v>4</v>
      </c>
      <c r="J110" s="733"/>
      <c r="K110" s="731"/>
      <c r="L110" s="731"/>
      <c r="M110" s="731"/>
      <c r="N110" s="731">
        <v>5</v>
      </c>
      <c r="O110" s="732"/>
      <c r="P110" s="731"/>
      <c r="Q110" s="1104">
        <v>7</v>
      </c>
      <c r="R110" s="1105"/>
      <c r="S110" s="1074" t="s">
        <v>307</v>
      </c>
      <c r="T110" s="1112"/>
      <c r="U110" s="1112"/>
      <c r="V110" s="1112"/>
      <c r="W110" s="1112"/>
      <c r="X110" s="1112"/>
      <c r="Y110" s="1111"/>
      <c r="Z110" s="699" t="s">
        <v>199</v>
      </c>
      <c r="AA110" s="705"/>
      <c r="AB110" s="704"/>
    </row>
    <row r="111" spans="1:28" ht="8.25" customHeight="1">
      <c r="A111" s="37"/>
      <c r="B111" s="38"/>
      <c r="C111" s="38"/>
      <c r="D111" s="38"/>
      <c r="E111" s="38"/>
      <c r="F111" s="38"/>
      <c r="G111" s="39"/>
      <c r="H111" s="38"/>
      <c r="I111" s="38"/>
      <c r="J111" s="39"/>
      <c r="K111" s="38"/>
      <c r="L111" s="38"/>
      <c r="M111" s="38"/>
      <c r="N111" s="38"/>
      <c r="O111" s="40"/>
      <c r="P111" s="39"/>
      <c r="Q111" s="41"/>
      <c r="R111" s="42"/>
      <c r="S111" s="1112"/>
      <c r="T111" s="1112"/>
      <c r="U111" s="1112"/>
      <c r="V111" s="1112"/>
      <c r="W111" s="1112"/>
      <c r="X111" s="1112"/>
      <c r="Y111" s="1111"/>
      <c r="Z111" s="56"/>
      <c r="AA111" s="32"/>
      <c r="AB111" s="610"/>
    </row>
    <row r="112" spans="1:28" ht="16.5" thickBot="1">
      <c r="A112" s="780" t="s">
        <v>201</v>
      </c>
      <c r="B112" s="28"/>
      <c r="C112" s="28"/>
      <c r="D112" s="28"/>
      <c r="E112" s="28"/>
      <c r="F112" s="28"/>
      <c r="G112" s="219">
        <f>G13</f>
        <v>110</v>
      </c>
      <c r="H112" s="28"/>
      <c r="I112" s="140">
        <f>B124</f>
        <v>100</v>
      </c>
      <c r="J112" s="50"/>
      <c r="K112" s="1075">
        <f>G112*I112</f>
        <v>11000</v>
      </c>
      <c r="L112" s="1182"/>
      <c r="M112" s="1182"/>
      <c r="N112" s="1183"/>
      <c r="O112" s="1068">
        <f>AB194/B124</f>
        <v>104.26239099999999</v>
      </c>
      <c r="P112" s="1069"/>
      <c r="Q112" s="14"/>
      <c r="R112" s="52"/>
      <c r="S112" s="3"/>
      <c r="T112" s="710" t="str">
        <f>T13</f>
        <v>"Детский сад № 31 г. Ельца"</v>
      </c>
      <c r="U112" s="2"/>
      <c r="V112" s="538"/>
      <c r="W112" s="7"/>
      <c r="X112" s="7"/>
      <c r="Y112" s="610"/>
      <c r="Z112" s="699"/>
      <c r="AA112" s="7"/>
      <c r="AB112" s="610"/>
    </row>
    <row r="113" spans="1:28" ht="8.25" customHeight="1" thickBot="1">
      <c r="A113" s="766"/>
      <c r="B113" s="48"/>
      <c r="C113" s="45"/>
      <c r="D113" s="45"/>
      <c r="E113" s="45"/>
      <c r="F113" s="45"/>
      <c r="G113" s="49"/>
      <c r="H113" s="45"/>
      <c r="I113" s="45"/>
      <c r="J113" s="49"/>
      <c r="K113" s="28"/>
      <c r="L113" s="28"/>
      <c r="M113" s="28"/>
      <c r="N113" s="28"/>
      <c r="O113" s="51"/>
      <c r="P113" s="27"/>
      <c r="Q113" s="14"/>
      <c r="R113" s="52"/>
      <c r="S113" s="3"/>
      <c r="T113" s="7"/>
      <c r="U113" s="7"/>
      <c r="Y113" s="56"/>
      <c r="Z113" s="56"/>
      <c r="AA113" s="41"/>
      <c r="AB113" s="707"/>
    </row>
    <row r="114" spans="1:28" ht="19.5" thickBot="1">
      <c r="A114" s="769"/>
      <c r="B114" s="38"/>
      <c r="C114" s="38"/>
      <c r="D114" s="38"/>
      <c r="E114" s="38"/>
      <c r="F114" s="38"/>
      <c r="G114" s="38"/>
      <c r="H114" s="38"/>
      <c r="I114" s="3" t="s">
        <v>33</v>
      </c>
      <c r="J114" s="42"/>
      <c r="K114" s="45"/>
      <c r="L114" s="45"/>
      <c r="M114" s="45"/>
      <c r="N114" s="45"/>
      <c r="O114" s="1178">
        <f>O112*B124</f>
        <v>10426.239099999999</v>
      </c>
      <c r="P114" s="1179"/>
      <c r="Q114" s="1180"/>
      <c r="R114" s="1181"/>
      <c r="S114" s="3" t="s">
        <v>193</v>
      </c>
      <c r="T114" s="7"/>
      <c r="U114" s="7"/>
      <c r="V114" s="549"/>
      <c r="W114" s="711" t="str">
        <f>W15</f>
        <v>Глухова Г.В.</v>
      </c>
      <c r="Z114" s="56"/>
      <c r="AA114" s="66"/>
      <c r="AB114" s="704"/>
    </row>
    <row r="115" spans="1:28" ht="0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8"/>
      <c r="L115" s="38"/>
      <c r="M115" s="38"/>
      <c r="N115" s="38"/>
      <c r="O115" s="38"/>
      <c r="P115" s="39"/>
      <c r="Q115" s="41"/>
      <c r="R115" s="38"/>
      <c r="S115" s="3"/>
      <c r="T115" s="7"/>
      <c r="U115" s="7"/>
      <c r="Z115" s="32"/>
      <c r="AA115" s="32"/>
    </row>
    <row r="116" spans="1:28" ht="2.2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7"/>
      <c r="U116" s="7"/>
      <c r="V116" s="7"/>
      <c r="W116" s="7"/>
      <c r="X116" s="7"/>
      <c r="Y116" s="7"/>
      <c r="Z116" s="7"/>
      <c r="AA116" s="8"/>
      <c r="AB116" s="8"/>
    </row>
    <row r="117" spans="1:28">
      <c r="A117" s="26" t="s">
        <v>53</v>
      </c>
      <c r="B117" s="20"/>
      <c r="C117" s="65"/>
      <c r="D117" s="65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8" t="s">
        <v>41</v>
      </c>
      <c r="P117" s="14"/>
      <c r="Q117" s="14"/>
      <c r="R117" s="14"/>
      <c r="S117" s="28"/>
      <c r="T117" s="28"/>
      <c r="U117" s="14"/>
      <c r="V117" s="14"/>
      <c r="W117" s="14"/>
      <c r="X117" s="14"/>
      <c r="Y117" s="14"/>
      <c r="Z117" s="14"/>
      <c r="AA117" s="1047" t="s">
        <v>8</v>
      </c>
      <c r="AB117" s="1048"/>
    </row>
    <row r="118" spans="1:28" ht="9.75" customHeight="1">
      <c r="A118" s="158"/>
      <c r="B118" s="19"/>
      <c r="C118" s="5" t="s">
        <v>52</v>
      </c>
      <c r="D118" s="1196" t="s">
        <v>203</v>
      </c>
      <c r="E118" s="1197"/>
      <c r="F118" s="1197"/>
      <c r="G118" s="1197"/>
      <c r="H118" s="1197"/>
      <c r="I118" s="1197"/>
      <c r="J118" s="1197"/>
      <c r="K118" s="1198"/>
      <c r="L118" s="153" t="s">
        <v>69</v>
      </c>
      <c r="M118" s="651"/>
      <c r="N118" s="1056" t="s">
        <v>16</v>
      </c>
      <c r="O118" s="1052"/>
      <c r="P118" s="1052"/>
      <c r="Q118" s="1052"/>
      <c r="R118" s="1052"/>
      <c r="S118" s="1052"/>
      <c r="T118" s="1053"/>
      <c r="U118" s="1056" t="s">
        <v>17</v>
      </c>
      <c r="V118" s="1052"/>
      <c r="W118" s="1052"/>
      <c r="X118" s="1052"/>
      <c r="Y118" s="1052"/>
      <c r="Z118" s="1052"/>
      <c r="AA118" s="1058" t="s">
        <v>3</v>
      </c>
      <c r="AB118" s="1059"/>
    </row>
    <row r="119" spans="1:28" ht="7.5" hidden="1" customHeight="1">
      <c r="A119" s="157"/>
      <c r="B119" s="5"/>
      <c r="C119" s="5" t="s">
        <v>51</v>
      </c>
      <c r="D119" s="1199"/>
      <c r="E119" s="1167"/>
      <c r="F119" s="1167"/>
      <c r="G119" s="1167"/>
      <c r="H119" s="1167"/>
      <c r="I119" s="1167"/>
      <c r="J119" s="1167"/>
      <c r="K119" s="1168"/>
      <c r="L119" s="154"/>
      <c r="M119" s="652"/>
      <c r="N119" s="1057"/>
      <c r="O119" s="1054"/>
      <c r="P119" s="1054"/>
      <c r="Q119" s="1054"/>
      <c r="R119" s="1054"/>
      <c r="S119" s="1054"/>
      <c r="T119" s="1055"/>
      <c r="U119" s="1057"/>
      <c r="V119" s="1054"/>
      <c r="W119" s="1054"/>
      <c r="X119" s="1054"/>
      <c r="Y119" s="1054"/>
      <c r="Z119" s="1054"/>
      <c r="AA119" s="1047" t="s">
        <v>36</v>
      </c>
      <c r="AB119" s="1048"/>
    </row>
    <row r="120" spans="1:28" ht="12.75" customHeight="1">
      <c r="A120" s="157" t="s">
        <v>54</v>
      </c>
      <c r="B120" s="5"/>
      <c r="C120" s="70" t="s">
        <v>9</v>
      </c>
      <c r="D120" s="1101" t="s">
        <v>168</v>
      </c>
      <c r="E120" s="1081" t="s">
        <v>169</v>
      </c>
      <c r="F120" s="1041" t="s">
        <v>170</v>
      </c>
      <c r="G120" s="1096"/>
      <c r="H120" s="1041" t="s">
        <v>234</v>
      </c>
      <c r="I120" s="1038"/>
      <c r="J120" s="1044" t="s">
        <v>171</v>
      </c>
      <c r="K120" s="1035" t="s">
        <v>143</v>
      </c>
      <c r="L120" s="1041" t="s">
        <v>242</v>
      </c>
      <c r="M120" s="806"/>
      <c r="N120" s="1070" t="s">
        <v>140</v>
      </c>
      <c r="O120" s="1044" t="s">
        <v>106</v>
      </c>
      <c r="P120" s="1038"/>
      <c r="Q120" s="1035" t="s">
        <v>240</v>
      </c>
      <c r="R120" s="1038"/>
      <c r="S120" s="1041" t="s">
        <v>174</v>
      </c>
      <c r="T120" s="1044" t="s">
        <v>68</v>
      </c>
      <c r="U120" s="1041" t="s">
        <v>173</v>
      </c>
      <c r="V120" s="1041" t="s">
        <v>236</v>
      </c>
      <c r="W120" s="1153"/>
      <c r="X120" s="1044" t="s">
        <v>61</v>
      </c>
      <c r="Y120" s="1038" t="s">
        <v>70</v>
      </c>
      <c r="Z120" s="1211"/>
      <c r="AA120" s="24"/>
      <c r="AB120" s="23"/>
    </row>
    <row r="121" spans="1:28">
      <c r="A121" s="157"/>
      <c r="B121" s="5"/>
      <c r="C121" s="70" t="s">
        <v>10</v>
      </c>
      <c r="D121" s="1102"/>
      <c r="E121" s="1082"/>
      <c r="F121" s="1042"/>
      <c r="G121" s="1098"/>
      <c r="H121" s="1042"/>
      <c r="I121" s="1039"/>
      <c r="J121" s="1045"/>
      <c r="K121" s="1036"/>
      <c r="L121" s="1042"/>
      <c r="M121" s="807"/>
      <c r="N121" s="1071"/>
      <c r="O121" s="1045"/>
      <c r="P121" s="1039"/>
      <c r="Q121" s="1036"/>
      <c r="R121" s="1039"/>
      <c r="S121" s="1042"/>
      <c r="T121" s="1045"/>
      <c r="U121" s="1042"/>
      <c r="V121" s="1203"/>
      <c r="W121" s="1146"/>
      <c r="X121" s="1045"/>
      <c r="Y121" s="1039"/>
      <c r="Z121" s="1212"/>
      <c r="AA121" s="19" t="s">
        <v>6</v>
      </c>
      <c r="AB121" s="156" t="s">
        <v>4</v>
      </c>
    </row>
    <row r="122" spans="1:28" ht="90.75" customHeight="1">
      <c r="A122" s="159"/>
      <c r="B122" s="4"/>
      <c r="C122" s="71"/>
      <c r="D122" s="1103"/>
      <c r="E122" s="1083"/>
      <c r="F122" s="1043"/>
      <c r="G122" s="1100"/>
      <c r="H122" s="1043"/>
      <c r="I122" s="1040"/>
      <c r="J122" s="1046"/>
      <c r="K122" s="1037"/>
      <c r="L122" s="1043"/>
      <c r="M122" s="808" t="s">
        <v>238</v>
      </c>
      <c r="N122" s="1072"/>
      <c r="O122" s="1046"/>
      <c r="P122" s="1040"/>
      <c r="Q122" s="1037"/>
      <c r="R122" s="1040"/>
      <c r="S122" s="1043"/>
      <c r="T122" s="1046"/>
      <c r="U122" s="1043"/>
      <c r="V122" s="1204"/>
      <c r="W122" s="1131"/>
      <c r="X122" s="1046"/>
      <c r="Y122" s="1040"/>
      <c r="Z122" s="1213"/>
      <c r="AA122" s="4" t="s">
        <v>7</v>
      </c>
      <c r="AB122" s="155" t="s">
        <v>5</v>
      </c>
    </row>
    <row r="123" spans="1:28" ht="11.25" customHeight="1">
      <c r="A123" s="64">
        <v>1</v>
      </c>
      <c r="B123" s="810">
        <v>2</v>
      </c>
      <c r="C123" s="72">
        <v>3</v>
      </c>
      <c r="D123" s="76">
        <v>4</v>
      </c>
      <c r="E123" s="80">
        <v>5</v>
      </c>
      <c r="F123" s="86">
        <v>6</v>
      </c>
      <c r="G123" s="76">
        <v>7</v>
      </c>
      <c r="H123" s="87">
        <v>8</v>
      </c>
      <c r="I123" s="80">
        <v>9</v>
      </c>
      <c r="J123" s="81">
        <v>10</v>
      </c>
      <c r="K123" s="96">
        <v>11</v>
      </c>
      <c r="L123" s="96">
        <v>12</v>
      </c>
      <c r="M123" s="96">
        <v>13</v>
      </c>
      <c r="N123" s="81">
        <v>14</v>
      </c>
      <c r="O123" s="81">
        <v>15</v>
      </c>
      <c r="P123" s="80">
        <v>14</v>
      </c>
      <c r="Q123" s="97">
        <v>16</v>
      </c>
      <c r="R123" s="93">
        <v>17</v>
      </c>
      <c r="S123" s="96">
        <v>18</v>
      </c>
      <c r="T123" s="98">
        <v>19</v>
      </c>
      <c r="U123" s="80">
        <v>20</v>
      </c>
      <c r="V123" s="80">
        <v>21</v>
      </c>
      <c r="W123" s="96">
        <v>22</v>
      </c>
      <c r="X123" s="81">
        <v>23</v>
      </c>
      <c r="Y123" s="96">
        <v>24</v>
      </c>
      <c r="Z123" s="82">
        <v>23</v>
      </c>
      <c r="AA123" s="35">
        <v>25</v>
      </c>
      <c r="AB123" s="809">
        <v>26</v>
      </c>
    </row>
    <row r="124" spans="1:28" ht="15.75">
      <c r="A124" s="16" t="s">
        <v>18</v>
      </c>
      <c r="B124" s="221">
        <v>100</v>
      </c>
      <c r="C124" s="73"/>
      <c r="D124" s="781">
        <f>F124</f>
        <v>100</v>
      </c>
      <c r="E124" s="99">
        <f>B124</f>
        <v>100</v>
      </c>
      <c r="F124" s="222">
        <v>100</v>
      </c>
      <c r="G124" s="99">
        <f>B124</f>
        <v>100</v>
      </c>
      <c r="H124" s="89">
        <f>F124</f>
        <v>100</v>
      </c>
      <c r="I124" s="99">
        <f>B124</f>
        <v>100</v>
      </c>
      <c r="J124" s="664">
        <f>B124</f>
        <v>100</v>
      </c>
      <c r="K124" s="99">
        <f>B124</f>
        <v>100</v>
      </c>
      <c r="L124" s="99">
        <f>B124</f>
        <v>100</v>
      </c>
      <c r="M124" s="99">
        <f>B124</f>
        <v>100</v>
      </c>
      <c r="N124" s="99">
        <f>B124</f>
        <v>100</v>
      </c>
      <c r="O124" s="160">
        <f>B124</f>
        <v>100</v>
      </c>
      <c r="P124" s="99"/>
      <c r="Q124" s="109">
        <f>F124</f>
        <v>100</v>
      </c>
      <c r="R124" s="99">
        <f>B124</f>
        <v>100</v>
      </c>
      <c r="S124" s="99">
        <f>B124</f>
        <v>100</v>
      </c>
      <c r="T124" s="99">
        <f>B124</f>
        <v>100</v>
      </c>
      <c r="U124" s="99">
        <f>B124</f>
        <v>100</v>
      </c>
      <c r="V124" s="466">
        <f>F124</f>
        <v>100</v>
      </c>
      <c r="W124" s="99">
        <f>B124</f>
        <v>100</v>
      </c>
      <c r="X124" s="99">
        <f>B124</f>
        <v>100</v>
      </c>
      <c r="Y124" s="99">
        <f>B124</f>
        <v>100</v>
      </c>
      <c r="Z124" s="83"/>
      <c r="AA124" s="12" t="s">
        <v>66</v>
      </c>
      <c r="AB124" s="68" t="s">
        <v>64</v>
      </c>
    </row>
    <row r="125" spans="1:28" ht="16.5" thickBot="1">
      <c r="A125" s="59" t="s">
        <v>19</v>
      </c>
      <c r="B125" s="60"/>
      <c r="C125" s="74"/>
      <c r="D125" s="611">
        <v>25</v>
      </c>
      <c r="E125" s="119">
        <f>D125*F124/B124</f>
        <v>25</v>
      </c>
      <c r="F125" s="91">
        <v>150</v>
      </c>
      <c r="G125" s="119">
        <f>F125*F124/B124</f>
        <v>150</v>
      </c>
      <c r="H125" s="91">
        <v>150</v>
      </c>
      <c r="I125" s="119">
        <f>H125*F124/B124</f>
        <v>150</v>
      </c>
      <c r="J125" s="643">
        <f>J171/B124*1000</f>
        <v>10</v>
      </c>
      <c r="K125" s="119">
        <f>K145/B124*1000</f>
        <v>20</v>
      </c>
      <c r="L125" s="119">
        <f>L185/B124*1000</f>
        <v>150</v>
      </c>
      <c r="M125" s="119">
        <v>30</v>
      </c>
      <c r="N125" s="119">
        <v>180</v>
      </c>
      <c r="O125" s="100">
        <v>110</v>
      </c>
      <c r="P125" s="119"/>
      <c r="Q125" s="111">
        <v>60</v>
      </c>
      <c r="R125" s="119">
        <f>Q125*F124/B124</f>
        <v>60</v>
      </c>
      <c r="S125" s="100">
        <v>150</v>
      </c>
      <c r="T125" s="119">
        <f>T173/B124*1000</f>
        <v>30</v>
      </c>
      <c r="U125" s="119">
        <v>20</v>
      </c>
      <c r="V125" s="465">
        <v>80</v>
      </c>
      <c r="W125" s="119">
        <f>V125*F124/B124</f>
        <v>80</v>
      </c>
      <c r="X125" s="119">
        <f>X177/B124/1.028*1000</f>
        <v>149.80544747081711</v>
      </c>
      <c r="Y125" s="119">
        <f>Y175/B124*1000</f>
        <v>10</v>
      </c>
      <c r="Z125" s="84"/>
      <c r="AA125" s="61"/>
      <c r="AB125" s="69"/>
    </row>
    <row r="126" spans="1:28" ht="15" customHeight="1" thickTop="1">
      <c r="A126" s="133"/>
      <c r="B126" s="5" t="s">
        <v>65</v>
      </c>
      <c r="C126" s="77" t="s">
        <v>72</v>
      </c>
      <c r="D126" s="293"/>
      <c r="E126" s="88"/>
      <c r="F126" s="92"/>
      <c r="G126" s="88"/>
      <c r="H126" s="108"/>
      <c r="I126" s="88"/>
      <c r="J126" s="608"/>
      <c r="K126" s="88"/>
      <c r="L126" s="88"/>
      <c r="M126" s="88"/>
      <c r="N126" s="88"/>
      <c r="O126" s="88"/>
      <c r="P126" s="88"/>
      <c r="Q126" s="108">
        <f>79.7/60*Q125</f>
        <v>79.7</v>
      </c>
      <c r="R126" s="129">
        <f>Q126/Q125*R125</f>
        <v>79.7</v>
      </c>
      <c r="S126" s="88"/>
      <c r="T126" s="88"/>
      <c r="U126" s="88"/>
      <c r="V126" s="113"/>
      <c r="W126" s="88"/>
      <c r="X126" s="88"/>
      <c r="Y126" s="88"/>
      <c r="Z126" s="85"/>
      <c r="AA126" s="78"/>
      <c r="AB126" s="79"/>
    </row>
    <row r="127" spans="1:28" ht="16.5" thickBot="1">
      <c r="A127" s="346" t="str">
        <f>A28</f>
        <v>Цыплята бройл.</v>
      </c>
      <c r="B127" s="347">
        <f>B28</f>
        <v>210</v>
      </c>
      <c r="C127" s="348" t="s">
        <v>73</v>
      </c>
      <c r="D127" s="423"/>
      <c r="E127" s="350"/>
      <c r="F127" s="363"/>
      <c r="G127" s="350"/>
      <c r="H127" s="349"/>
      <c r="I127" s="350"/>
      <c r="J127" s="569"/>
      <c r="K127" s="350"/>
      <c r="L127" s="350"/>
      <c r="M127" s="350"/>
      <c r="N127" s="350"/>
      <c r="O127" s="350"/>
      <c r="P127" s="350"/>
      <c r="Q127" s="468">
        <f>Q126*Q124/1000</f>
        <v>7.97</v>
      </c>
      <c r="R127" s="366">
        <f>Q127</f>
        <v>7.97</v>
      </c>
      <c r="S127" s="350"/>
      <c r="T127" s="350"/>
      <c r="U127" s="350"/>
      <c r="V127" s="350"/>
      <c r="W127" s="350"/>
      <c r="X127" s="350"/>
      <c r="Y127" s="350"/>
      <c r="Z127" s="382"/>
      <c r="AA127" s="356">
        <f>ROUND(E127+G127+I127+J127+K127+L127+M127+N127+O127+R127+S127+T127+U127+W127+X127++Y127,3)</f>
        <v>7.97</v>
      </c>
      <c r="AB127" s="368">
        <f>AA127*B127</f>
        <v>1673.7</v>
      </c>
    </row>
    <row r="128" spans="1:28" ht="13.5" customHeight="1" thickTop="1">
      <c r="A128" s="133"/>
      <c r="B128" s="215"/>
      <c r="C128" s="77" t="s">
        <v>72</v>
      </c>
      <c r="D128" s="293"/>
      <c r="E128" s="88"/>
      <c r="F128" s="90"/>
      <c r="G128" s="88"/>
      <c r="H128" s="108"/>
      <c r="I128" s="88"/>
      <c r="J128" s="608"/>
      <c r="K128" s="88"/>
      <c r="L128" s="88"/>
      <c r="M128" s="88"/>
      <c r="N128" s="88"/>
      <c r="O128" s="88"/>
      <c r="P128" s="129"/>
      <c r="Q128" s="108"/>
      <c r="R128" s="129"/>
      <c r="S128" s="88"/>
      <c r="T128" s="88"/>
      <c r="U128" s="88"/>
      <c r="V128" s="113">
        <f>60.8/80*V125</f>
        <v>60.8</v>
      </c>
      <c r="W128" s="129">
        <f>V128/V125*W125</f>
        <v>60.8</v>
      </c>
      <c r="X128" s="88"/>
      <c r="Y128" s="88"/>
      <c r="Z128" s="85"/>
      <c r="AA128" s="125"/>
      <c r="AB128" s="123"/>
    </row>
    <row r="129" spans="1:28" ht="16.5" thickBot="1">
      <c r="A129" s="346" t="str">
        <f>A30</f>
        <v>Творог</v>
      </c>
      <c r="B129" s="347">
        <f>B30</f>
        <v>319.5</v>
      </c>
      <c r="C129" s="348" t="s">
        <v>73</v>
      </c>
      <c r="D129" s="423"/>
      <c r="E129" s="350"/>
      <c r="F129" s="363"/>
      <c r="G129" s="350"/>
      <c r="H129" s="349"/>
      <c r="I129" s="350"/>
      <c r="J129" s="569"/>
      <c r="K129" s="350"/>
      <c r="L129" s="350"/>
      <c r="M129" s="350"/>
      <c r="N129" s="350"/>
      <c r="O129" s="378"/>
      <c r="P129" s="350"/>
      <c r="Q129" s="349"/>
      <c r="R129" s="341"/>
      <c r="S129" s="350"/>
      <c r="T129" s="350"/>
      <c r="U129" s="341"/>
      <c r="V129" s="378">
        <f>V128*F124/1000</f>
        <v>6.08</v>
      </c>
      <c r="W129" s="341">
        <f>V129</f>
        <v>6.08</v>
      </c>
      <c r="X129" s="350"/>
      <c r="Y129" s="350"/>
      <c r="Z129" s="382"/>
      <c r="AA129" s="343">
        <f>ROUND(E129+G129+I129+J129+K129+L129+M129+N129+O129+R129+S129+T129+U129+W129+X129++Y129,2)</f>
        <v>6.08</v>
      </c>
      <c r="AB129" s="344">
        <f>AA129*B129</f>
        <v>1942.56</v>
      </c>
    </row>
    <row r="130" spans="1:28" ht="14.25" customHeight="1" thickTop="1">
      <c r="A130" s="133"/>
      <c r="B130" s="215"/>
      <c r="C130" s="77" t="s">
        <v>72</v>
      </c>
      <c r="D130" s="293">
        <v>5</v>
      </c>
      <c r="E130" s="129">
        <f>D130/D125*E125</f>
        <v>5</v>
      </c>
      <c r="F130" s="430">
        <v>1.5</v>
      </c>
      <c r="G130" s="129">
        <f>F130/F125*G125</f>
        <v>1.5</v>
      </c>
      <c r="H130" s="108"/>
      <c r="I130" s="88"/>
      <c r="J130" s="608"/>
      <c r="K130" s="88"/>
      <c r="L130" s="88"/>
      <c r="M130" s="88"/>
      <c r="N130" s="131"/>
      <c r="O130" s="131">
        <v>2</v>
      </c>
      <c r="P130" s="113"/>
      <c r="Q130" s="177"/>
      <c r="R130" s="129"/>
      <c r="S130" s="88"/>
      <c r="T130" s="88"/>
      <c r="U130" s="131">
        <v>0.9</v>
      </c>
      <c r="V130" s="113">
        <f>2.4/80*V125</f>
        <v>2.4</v>
      </c>
      <c r="W130" s="129">
        <f>V130/V125*W125</f>
        <v>2.4</v>
      </c>
      <c r="X130" s="88"/>
      <c r="Y130" s="88"/>
      <c r="Z130" s="85"/>
      <c r="AA130" s="125"/>
      <c r="AB130" s="123"/>
    </row>
    <row r="131" spans="1:28" ht="16.5" thickBot="1">
      <c r="A131" s="346" t="str">
        <f>A32</f>
        <v>Масло слив.</v>
      </c>
      <c r="B131" s="347">
        <f>B32</f>
        <v>595</v>
      </c>
      <c r="C131" s="494" t="s">
        <v>73</v>
      </c>
      <c r="D131" s="423">
        <f>D130*F124/1000</f>
        <v>0.5</v>
      </c>
      <c r="E131" s="341">
        <f>ROUND(E130*E124/1000,2)</f>
        <v>0.5</v>
      </c>
      <c r="F131" s="363">
        <f>ROUND(F130*F124/1000,2)</f>
        <v>0.15</v>
      </c>
      <c r="G131" s="341">
        <f>ROUND(F131,2)</f>
        <v>0.15</v>
      </c>
      <c r="H131" s="349"/>
      <c r="I131" s="350"/>
      <c r="J131" s="569"/>
      <c r="K131" s="350"/>
      <c r="L131" s="350"/>
      <c r="M131" s="350"/>
      <c r="N131" s="383">
        <f>ROUND(N130*B124/1000,2)</f>
        <v>0</v>
      </c>
      <c r="O131" s="383">
        <f>ROUND(O130*B124/1000,2)</f>
        <v>0.2</v>
      </c>
      <c r="P131" s="350"/>
      <c r="Q131" s="349"/>
      <c r="R131" s="341"/>
      <c r="S131" s="350"/>
      <c r="T131" s="350"/>
      <c r="U131" s="341">
        <f>ROUND(U130*U124/1000,2)</f>
        <v>0.09</v>
      </c>
      <c r="V131" s="378">
        <f>V130*F124/1000</f>
        <v>0.24</v>
      </c>
      <c r="W131" s="341">
        <f>V131</f>
        <v>0.24</v>
      </c>
      <c r="X131" s="350"/>
      <c r="Y131" s="350"/>
      <c r="Z131" s="382"/>
      <c r="AA131" s="343">
        <f>ROUND(E131+G131+I131+J131+K131+L131+M131+N131+O131+R131+S131+T131+U131+W131+X131++Y131,2)</f>
        <v>1.18</v>
      </c>
      <c r="AB131" s="344">
        <f>AA131*B131</f>
        <v>702.09999999999991</v>
      </c>
    </row>
    <row r="132" spans="1:28" ht="14.25" customHeight="1">
      <c r="A132" s="133"/>
      <c r="B132" s="215"/>
      <c r="C132" s="495" t="s">
        <v>72</v>
      </c>
      <c r="D132" s="293"/>
      <c r="E132" s="88"/>
      <c r="F132" s="430"/>
      <c r="G132" s="88"/>
      <c r="H132" s="108"/>
      <c r="I132" s="88"/>
      <c r="J132" s="608"/>
      <c r="K132" s="88"/>
      <c r="L132" s="88"/>
      <c r="M132" s="131">
        <v>1.5</v>
      </c>
      <c r="N132" s="131">
        <v>1.8</v>
      </c>
      <c r="O132" s="131">
        <v>3.3</v>
      </c>
      <c r="P132" s="88"/>
      <c r="Q132" s="177">
        <f>1.7/60*Q125</f>
        <v>1.7</v>
      </c>
      <c r="R132" s="129">
        <f>Q132/Q125*R125</f>
        <v>1.7</v>
      </c>
      <c r="S132" s="88"/>
      <c r="T132" s="88"/>
      <c r="U132" s="131"/>
      <c r="V132" s="113"/>
      <c r="W132" s="129"/>
      <c r="X132" s="88"/>
      <c r="Y132" s="88"/>
      <c r="Z132" s="85"/>
      <c r="AA132" s="125"/>
      <c r="AB132" s="123"/>
    </row>
    <row r="133" spans="1:28" ht="16.5" thickBot="1">
      <c r="A133" s="346" t="str">
        <f>A34</f>
        <v>Масло раст.</v>
      </c>
      <c r="B133" s="347">
        <f>B34</f>
        <v>104.42</v>
      </c>
      <c r="C133" s="348" t="s">
        <v>73</v>
      </c>
      <c r="D133" s="423"/>
      <c r="E133" s="350"/>
      <c r="F133" s="363"/>
      <c r="G133" s="350"/>
      <c r="H133" s="349"/>
      <c r="I133" s="350"/>
      <c r="J133" s="569"/>
      <c r="K133" s="350"/>
      <c r="L133" s="350"/>
      <c r="M133" s="341">
        <f>M132*B124/1000</f>
        <v>0.15</v>
      </c>
      <c r="N133" s="341">
        <f>N132*B124/1000</f>
        <v>0.18</v>
      </c>
      <c r="O133" s="341">
        <f>ROUND(O132*B124/1000,2)</f>
        <v>0.33</v>
      </c>
      <c r="P133" s="350"/>
      <c r="Q133" s="349">
        <f>Q132*Q124/1000</f>
        <v>0.17</v>
      </c>
      <c r="R133" s="341">
        <f>ROUND(Q133,2)</f>
        <v>0.17</v>
      </c>
      <c r="S133" s="350"/>
      <c r="T133" s="350"/>
      <c r="U133" s="350"/>
      <c r="V133" s="378"/>
      <c r="W133" s="350"/>
      <c r="X133" s="350"/>
      <c r="Y133" s="350"/>
      <c r="Z133" s="382"/>
      <c r="AA133" s="343">
        <f>ROUND(E133+G133+I133+J133+K133+L133+M133+N133+O133+R133+S133+T133+U133+W133+X133++Y133,2)</f>
        <v>0.83</v>
      </c>
      <c r="AB133" s="344">
        <f>AA133*B133</f>
        <v>86.668599999999998</v>
      </c>
    </row>
    <row r="134" spans="1:28" ht="13.5" customHeight="1" thickTop="1">
      <c r="A134" s="133"/>
      <c r="B134" s="215"/>
      <c r="C134" s="77" t="s">
        <v>72</v>
      </c>
      <c r="D134" s="293"/>
      <c r="E134" s="88"/>
      <c r="F134" s="430">
        <v>105</v>
      </c>
      <c r="G134" s="113">
        <f>F134/F125*G125</f>
        <v>105</v>
      </c>
      <c r="H134" s="108"/>
      <c r="I134" s="129"/>
      <c r="J134" s="608"/>
      <c r="K134" s="88"/>
      <c r="L134" s="114"/>
      <c r="M134" s="88"/>
      <c r="N134" s="131"/>
      <c r="O134" s="88"/>
      <c r="P134" s="88"/>
      <c r="Q134" s="177">
        <f>10.3/60*Q125</f>
        <v>10.3</v>
      </c>
      <c r="R134" s="129">
        <f>Q134/Q125*R125</f>
        <v>10.3</v>
      </c>
      <c r="S134" s="88"/>
      <c r="T134" s="88"/>
      <c r="U134" s="131">
        <v>10</v>
      </c>
      <c r="V134" s="113"/>
      <c r="W134" s="131"/>
      <c r="X134" s="131"/>
      <c r="Y134" s="88"/>
      <c r="Z134" s="85"/>
      <c r="AA134" s="125"/>
      <c r="AB134" s="123"/>
    </row>
    <row r="135" spans="1:28" ht="16.5" thickBot="1">
      <c r="A135" s="346" t="str">
        <f>A36</f>
        <v>Молоко св.</v>
      </c>
      <c r="B135" s="347">
        <f>B36</f>
        <v>67.8</v>
      </c>
      <c r="C135" s="348" t="s">
        <v>73</v>
      </c>
      <c r="D135" s="423"/>
      <c r="E135" s="350"/>
      <c r="F135" s="363">
        <f>F134*F124/1000</f>
        <v>10.5</v>
      </c>
      <c r="G135" s="786">
        <f>F135</f>
        <v>10.5</v>
      </c>
      <c r="H135" s="349"/>
      <c r="I135" s="350"/>
      <c r="J135" s="569"/>
      <c r="K135" s="350"/>
      <c r="L135" s="814"/>
      <c r="M135" s="350"/>
      <c r="N135" s="341">
        <f>N134*B124/1000</f>
        <v>0</v>
      </c>
      <c r="O135" s="350"/>
      <c r="P135" s="350"/>
      <c r="Q135" s="349">
        <f>Q134*F124/1000</f>
        <v>1.03</v>
      </c>
      <c r="R135" s="365">
        <f>Q135</f>
        <v>1.03</v>
      </c>
      <c r="S135" s="350"/>
      <c r="T135" s="350"/>
      <c r="U135" s="366">
        <f>ROUND(U134*U124/1000,2)</f>
        <v>1</v>
      </c>
      <c r="V135" s="350"/>
      <c r="W135" s="350"/>
      <c r="X135" s="341"/>
      <c r="Y135" s="350"/>
      <c r="Z135" s="382"/>
      <c r="AA135" s="356">
        <f>ROUND(E135+G135+I135+J135+K135+L135+M135+N135+O135+R135+S135+T135+U135+W135+X135++Y135,3)</f>
        <v>12.53</v>
      </c>
      <c r="AB135" s="344">
        <f>AA135*B135</f>
        <v>849.53399999999988</v>
      </c>
    </row>
    <row r="136" spans="1:28" ht="14.25" customHeight="1" thickTop="1">
      <c r="A136" s="133"/>
      <c r="B136" s="215"/>
      <c r="C136" s="77" t="s">
        <v>72</v>
      </c>
      <c r="D136" s="293"/>
      <c r="E136" s="88"/>
      <c r="F136" s="430">
        <v>12</v>
      </c>
      <c r="G136" s="113">
        <f>F136/F125*G125</f>
        <v>12</v>
      </c>
      <c r="H136" s="108"/>
      <c r="I136" s="88"/>
      <c r="J136" s="608"/>
      <c r="K136" s="88"/>
      <c r="L136" s="88"/>
      <c r="M136" s="88"/>
      <c r="N136" s="88"/>
      <c r="O136" s="88"/>
      <c r="P136" s="129"/>
      <c r="Q136" s="90"/>
      <c r="R136" s="129"/>
      <c r="S136" s="88"/>
      <c r="T136" s="88"/>
      <c r="U136" s="88"/>
      <c r="V136" s="113"/>
      <c r="W136" s="88"/>
      <c r="X136" s="88"/>
      <c r="Y136" s="88"/>
      <c r="Z136" s="85"/>
      <c r="AA136" s="125"/>
      <c r="AB136" s="123"/>
    </row>
    <row r="137" spans="1:28" ht="16.5" thickBot="1">
      <c r="A137" s="346" t="str">
        <f>A38</f>
        <v>Вермишель</v>
      </c>
      <c r="B137" s="347">
        <f>B38</f>
        <v>42.1</v>
      </c>
      <c r="C137" s="348" t="s">
        <v>73</v>
      </c>
      <c r="D137" s="423"/>
      <c r="E137" s="350"/>
      <c r="F137" s="363">
        <f>F136*F124/1000</f>
        <v>1.2</v>
      </c>
      <c r="G137" s="341">
        <f>F137</f>
        <v>1.2</v>
      </c>
      <c r="H137" s="349"/>
      <c r="I137" s="350"/>
      <c r="J137" s="569"/>
      <c r="K137" s="350"/>
      <c r="L137" s="350"/>
      <c r="M137" s="350"/>
      <c r="N137" s="350"/>
      <c r="O137" s="350"/>
      <c r="P137" s="341"/>
      <c r="Q137" s="363"/>
      <c r="R137" s="350"/>
      <c r="S137" s="350"/>
      <c r="T137" s="350"/>
      <c r="U137" s="350"/>
      <c r="V137" s="350"/>
      <c r="W137" s="350"/>
      <c r="X137" s="350"/>
      <c r="Y137" s="350"/>
      <c r="Z137" s="382"/>
      <c r="AA137" s="343">
        <f>ROUND(E137+G137+I137+J137+K137+L137+M137+N137+O137+R137+S137+T137+U137+W137+X137++Y137,2)</f>
        <v>1.2</v>
      </c>
      <c r="AB137" s="344">
        <f>AA137*B137</f>
        <v>50.52</v>
      </c>
    </row>
    <row r="138" spans="1:28" ht="14.25" customHeight="1" thickTop="1">
      <c r="A138" s="133"/>
      <c r="B138" s="215"/>
      <c r="C138" s="77" t="s">
        <v>72</v>
      </c>
      <c r="D138" s="293"/>
      <c r="E138" s="88"/>
      <c r="F138" s="430"/>
      <c r="G138" s="129">
        <f>F138/F125*G125</f>
        <v>0</v>
      </c>
      <c r="H138" s="108"/>
      <c r="I138" s="88"/>
      <c r="J138" s="608"/>
      <c r="K138" s="88"/>
      <c r="L138" s="88"/>
      <c r="M138" s="88"/>
      <c r="N138" s="131"/>
      <c r="O138" s="88"/>
      <c r="P138" s="88"/>
      <c r="Q138" s="90"/>
      <c r="R138" s="129"/>
      <c r="S138" s="88"/>
      <c r="T138" s="88"/>
      <c r="U138" s="88"/>
      <c r="V138" s="113">
        <f>5/80*V125</f>
        <v>5</v>
      </c>
      <c r="W138" s="129">
        <f>V138/V125*W125</f>
        <v>5</v>
      </c>
      <c r="X138" s="88"/>
      <c r="Y138" s="88"/>
      <c r="Z138" s="85"/>
      <c r="AA138" s="125"/>
      <c r="AB138" s="123"/>
    </row>
    <row r="139" spans="1:28" ht="16.5" thickBot="1">
      <c r="A139" s="346" t="str">
        <f>A40</f>
        <v>Яйцо</v>
      </c>
      <c r="B139" s="347">
        <f>B40</f>
        <v>10</v>
      </c>
      <c r="C139" s="348" t="s">
        <v>74</v>
      </c>
      <c r="D139" s="423"/>
      <c r="E139" s="350"/>
      <c r="F139" s="530"/>
      <c r="G139" s="386">
        <f>F139</f>
        <v>0</v>
      </c>
      <c r="H139" s="531"/>
      <c r="I139" s="386"/>
      <c r="J139" s="666"/>
      <c r="K139" s="386"/>
      <c r="L139" s="386"/>
      <c r="M139" s="386"/>
      <c r="N139" s="470"/>
      <c r="O139" s="386"/>
      <c r="P139" s="386"/>
      <c r="Q139" s="532"/>
      <c r="R139" s="386"/>
      <c r="S139" s="386"/>
      <c r="T139" s="386"/>
      <c r="U139" s="386"/>
      <c r="V139" s="534">
        <f>ROUND(V138*F124/1000/0.048,0)</f>
        <v>10</v>
      </c>
      <c r="W139" s="470">
        <f>V139</f>
        <v>10</v>
      </c>
      <c r="X139" s="350"/>
      <c r="Y139" s="350"/>
      <c r="Z139" s="360"/>
      <c r="AA139" s="472">
        <f>ROUND(E139+G139+I139+J139+K139+L139+M139+N139+O139+R139+S139+T139+U139+W139+X139++Y139,0)</f>
        <v>10</v>
      </c>
      <c r="AB139" s="344">
        <f>AA139*B139</f>
        <v>100</v>
      </c>
    </row>
    <row r="140" spans="1:28" ht="14.25" customHeight="1" thickTop="1">
      <c r="A140" s="133"/>
      <c r="B140" s="215"/>
      <c r="C140" s="77" t="s">
        <v>72</v>
      </c>
      <c r="D140" s="293"/>
      <c r="E140" s="88"/>
      <c r="F140" s="430"/>
      <c r="G140" s="129"/>
      <c r="H140" s="108"/>
      <c r="I140" s="88"/>
      <c r="J140" s="608"/>
      <c r="K140" s="88"/>
      <c r="L140" s="88"/>
      <c r="M140" s="88"/>
      <c r="N140" s="131"/>
      <c r="O140" s="131">
        <v>1.5</v>
      </c>
      <c r="P140" s="88"/>
      <c r="Q140" s="177">
        <f>6.7/60*Q125</f>
        <v>6.7</v>
      </c>
      <c r="R140" s="129">
        <f>Q140/Q125*R125</f>
        <v>6.7</v>
      </c>
      <c r="S140" s="88"/>
      <c r="T140" s="88"/>
      <c r="U140" s="131">
        <v>0.9</v>
      </c>
      <c r="V140" s="113"/>
      <c r="W140" s="129">
        <f>V140/V125*W125</f>
        <v>0</v>
      </c>
      <c r="X140" s="88"/>
      <c r="Y140" s="88"/>
      <c r="Z140" s="85"/>
      <c r="AA140" s="125"/>
      <c r="AB140" s="123"/>
    </row>
    <row r="141" spans="1:28" ht="16.5" thickBot="1">
      <c r="A141" s="346" t="str">
        <f>A42</f>
        <v>Мука пшен.</v>
      </c>
      <c r="B141" s="347">
        <f>B42</f>
        <v>29.08</v>
      </c>
      <c r="C141" s="348" t="s">
        <v>73</v>
      </c>
      <c r="D141" s="423"/>
      <c r="E141" s="350"/>
      <c r="F141" s="363"/>
      <c r="G141" s="350"/>
      <c r="H141" s="349"/>
      <c r="I141" s="350"/>
      <c r="J141" s="569"/>
      <c r="K141" s="350"/>
      <c r="L141" s="350"/>
      <c r="M141" s="350"/>
      <c r="N141" s="341"/>
      <c r="O141" s="383">
        <f>O140*B124/1000</f>
        <v>0.15</v>
      </c>
      <c r="P141" s="350"/>
      <c r="Q141" s="363">
        <f>Q140*Q124/1000</f>
        <v>0.67</v>
      </c>
      <c r="R141" s="341">
        <f>Q141</f>
        <v>0.67</v>
      </c>
      <c r="S141" s="350"/>
      <c r="T141" s="350"/>
      <c r="U141" s="341">
        <f>U140*U124/1000</f>
        <v>0.09</v>
      </c>
      <c r="V141" s="378">
        <f>V140*F124/1000</f>
        <v>0</v>
      </c>
      <c r="W141" s="341">
        <f>V141</f>
        <v>0</v>
      </c>
      <c r="X141" s="350"/>
      <c r="Y141" s="350"/>
      <c r="Z141" s="382"/>
      <c r="AA141" s="343">
        <f>ROUND(E141+G141+I141+J141+K141+L141+M141+N141+O141+R141+S141+T141+U141+W141+X141++Y141,2)</f>
        <v>0.91</v>
      </c>
      <c r="AB141" s="344">
        <f>AA141*B141</f>
        <v>26.462799999999998</v>
      </c>
    </row>
    <row r="142" spans="1:28" ht="14.25" customHeight="1" thickTop="1">
      <c r="A142" s="133"/>
      <c r="B142" s="215"/>
      <c r="C142" s="77" t="s">
        <v>72</v>
      </c>
      <c r="D142" s="293"/>
      <c r="E142" s="88"/>
      <c r="F142" s="430"/>
      <c r="G142" s="129"/>
      <c r="H142" s="108"/>
      <c r="I142" s="88"/>
      <c r="J142" s="608"/>
      <c r="K142" s="88"/>
      <c r="L142" s="88"/>
      <c r="M142" s="88"/>
      <c r="N142" s="88"/>
      <c r="O142" s="131"/>
      <c r="P142" s="88"/>
      <c r="Q142" s="108"/>
      <c r="R142" s="129"/>
      <c r="S142" s="88"/>
      <c r="T142" s="88"/>
      <c r="U142" s="88"/>
      <c r="V142" s="113">
        <f>11/80*V125</f>
        <v>11</v>
      </c>
      <c r="W142" s="129">
        <f>V142/V125*W125</f>
        <v>11</v>
      </c>
      <c r="X142" s="88"/>
      <c r="Y142" s="88"/>
      <c r="Z142" s="85"/>
      <c r="AA142" s="125"/>
      <c r="AB142" s="123"/>
    </row>
    <row r="143" spans="1:28" ht="16.5" thickBot="1">
      <c r="A143" s="346" t="str">
        <f>A44</f>
        <v>Рис</v>
      </c>
      <c r="B143" s="347">
        <f>B44</f>
        <v>81.92</v>
      </c>
      <c r="C143" s="348" t="s">
        <v>73</v>
      </c>
      <c r="D143" s="423"/>
      <c r="E143" s="350"/>
      <c r="F143" s="363"/>
      <c r="G143" s="341"/>
      <c r="H143" s="349"/>
      <c r="I143" s="350"/>
      <c r="J143" s="569"/>
      <c r="K143" s="350"/>
      <c r="L143" s="350"/>
      <c r="M143" s="350"/>
      <c r="N143" s="350"/>
      <c r="O143" s="350"/>
      <c r="P143" s="350"/>
      <c r="Q143" s="349"/>
      <c r="R143" s="350"/>
      <c r="S143" s="350"/>
      <c r="T143" s="350"/>
      <c r="U143" s="350"/>
      <c r="V143" s="378">
        <f>V142*F124/1000</f>
        <v>1.1000000000000001</v>
      </c>
      <c r="W143" s="341">
        <f>V143</f>
        <v>1.1000000000000001</v>
      </c>
      <c r="X143" s="350"/>
      <c r="Y143" s="350"/>
      <c r="Z143" s="382"/>
      <c r="AA143" s="343">
        <f>ROUND(E143+G143+I143+J143+K143+L143+M143+N143+O143+R143+S143+T143+U143+W143+X143++Y143,2)</f>
        <v>1.1000000000000001</v>
      </c>
      <c r="AB143" s="344">
        <f>AA143*B143</f>
        <v>90.112000000000009</v>
      </c>
    </row>
    <row r="144" spans="1:28" ht="14.25" customHeight="1" thickTop="1">
      <c r="A144" s="133"/>
      <c r="B144" s="215"/>
      <c r="C144" s="77" t="s">
        <v>72</v>
      </c>
      <c r="D144" s="293"/>
      <c r="E144" s="88"/>
      <c r="F144" s="430"/>
      <c r="G144" s="129"/>
      <c r="H144" s="108"/>
      <c r="I144" s="88"/>
      <c r="J144" s="608"/>
      <c r="K144" s="129">
        <f>K145/B124*1000</f>
        <v>20</v>
      </c>
      <c r="L144" s="88"/>
      <c r="M144" s="88"/>
      <c r="N144" s="88"/>
      <c r="O144" s="88"/>
      <c r="P144" s="88"/>
      <c r="Q144" s="108"/>
      <c r="R144" s="88"/>
      <c r="S144" s="88"/>
      <c r="T144" s="88"/>
      <c r="U144" s="128"/>
      <c r="V144" s="113"/>
      <c r="W144" s="131"/>
      <c r="X144" s="88"/>
      <c r="Y144" s="88"/>
      <c r="Z144" s="85"/>
      <c r="AA144" s="125"/>
      <c r="AB144" s="123"/>
    </row>
    <row r="145" spans="1:28" ht="16.5" thickBot="1">
      <c r="A145" s="346" t="str">
        <f>A46</f>
        <v>Печ-е, вафли</v>
      </c>
      <c r="B145" s="347">
        <f>B46</f>
        <v>210</v>
      </c>
      <c r="C145" s="348" t="s">
        <v>73</v>
      </c>
      <c r="D145" s="423"/>
      <c r="E145" s="350"/>
      <c r="F145" s="363"/>
      <c r="G145" s="350"/>
      <c r="H145" s="349"/>
      <c r="I145" s="350"/>
      <c r="J145" s="569"/>
      <c r="K145" s="341">
        <v>2</v>
      </c>
      <c r="L145" s="350"/>
      <c r="M145" s="350"/>
      <c r="N145" s="350"/>
      <c r="O145" s="350"/>
      <c r="P145" s="350"/>
      <c r="Q145" s="349"/>
      <c r="R145" s="350"/>
      <c r="S145" s="350"/>
      <c r="T145" s="350"/>
      <c r="U145" s="350"/>
      <c r="V145" s="350"/>
      <c r="W145" s="350"/>
      <c r="X145" s="350"/>
      <c r="Y145" s="350"/>
      <c r="Z145" s="382"/>
      <c r="AA145" s="343">
        <f>ROUND(E145+G145+I145+J145+K145+L145+M145+N145+O145+R145+S145+T145+U145+W145+X145++Y145,2)</f>
        <v>2</v>
      </c>
      <c r="AB145" s="344">
        <f>AA145*B145</f>
        <v>420</v>
      </c>
    </row>
    <row r="146" spans="1:28" ht="14.25" customHeight="1" thickTop="1">
      <c r="A146" s="133"/>
      <c r="B146" s="213"/>
      <c r="C146" s="427" t="s">
        <v>72</v>
      </c>
      <c r="D146" s="293"/>
      <c r="E146" s="88"/>
      <c r="F146" s="430">
        <v>1.2</v>
      </c>
      <c r="G146" s="129">
        <f>F146/F125*G125</f>
        <v>1.2</v>
      </c>
      <c r="H146" s="108">
        <v>6</v>
      </c>
      <c r="I146" s="129">
        <f>H146/H125*I125</f>
        <v>6</v>
      </c>
      <c r="J146" s="608"/>
      <c r="K146" s="88"/>
      <c r="L146" s="88"/>
      <c r="M146" s="88"/>
      <c r="N146" s="88"/>
      <c r="O146" s="131">
        <v>0.3</v>
      </c>
      <c r="P146" s="88"/>
      <c r="Q146" s="108"/>
      <c r="R146" s="88"/>
      <c r="S146" s="131">
        <v>8</v>
      </c>
      <c r="T146" s="88"/>
      <c r="U146" s="131">
        <v>1.6</v>
      </c>
      <c r="V146" s="113">
        <f>5.6/80*V125</f>
        <v>5.6</v>
      </c>
      <c r="W146" s="129">
        <f>V146/V125*W125</f>
        <v>5.6</v>
      </c>
      <c r="X146" s="131"/>
      <c r="Y146" s="88"/>
      <c r="Z146" s="85"/>
      <c r="AA146" s="125"/>
      <c r="AB146" s="123"/>
    </row>
    <row r="147" spans="1:28" ht="16.5" thickBot="1">
      <c r="A147" s="346" t="str">
        <f>A48</f>
        <v>Сахар</v>
      </c>
      <c r="B147" s="347">
        <f>B48</f>
        <v>62.77</v>
      </c>
      <c r="C147" s="348" t="s">
        <v>73</v>
      </c>
      <c r="D147" s="423"/>
      <c r="E147" s="350"/>
      <c r="F147" s="363">
        <f>F146*F124/1000</f>
        <v>0.12</v>
      </c>
      <c r="G147" s="341">
        <f>ROUND(F147,2)</f>
        <v>0.12</v>
      </c>
      <c r="H147" s="349">
        <f>H146*H124/1000</f>
        <v>0.6</v>
      </c>
      <c r="I147" s="341">
        <f>ROUND(H147,2)</f>
        <v>0.6</v>
      </c>
      <c r="J147" s="569"/>
      <c r="K147" s="350"/>
      <c r="L147" s="350"/>
      <c r="M147" s="350"/>
      <c r="N147" s="350"/>
      <c r="O147" s="383">
        <f>O146*B124/1000</f>
        <v>0.03</v>
      </c>
      <c r="P147" s="350"/>
      <c r="Q147" s="349"/>
      <c r="R147" s="350"/>
      <c r="S147" s="341">
        <f>ROUND(S146*B124/1000,2)</f>
        <v>0.8</v>
      </c>
      <c r="T147" s="350"/>
      <c r="U147" s="341">
        <f>ROUND(U146*U124/1000,2)</f>
        <v>0.16</v>
      </c>
      <c r="V147" s="378">
        <f>V146*F124/1000</f>
        <v>0.56000000000000005</v>
      </c>
      <c r="W147" s="341">
        <f>V147</f>
        <v>0.56000000000000005</v>
      </c>
      <c r="X147" s="350"/>
      <c r="Y147" s="350"/>
      <c r="Z147" s="382"/>
      <c r="AA147" s="343">
        <f>ROUND(E147+G147+I147+J147+K147+L147+M147+N147+O147+R147+S147+T147+U147+W147+X147++Y147,2)</f>
        <v>2.27</v>
      </c>
      <c r="AB147" s="344">
        <f>AA147*B147</f>
        <v>142.4879</v>
      </c>
    </row>
    <row r="148" spans="1:28" ht="15" customHeight="1" thickTop="1">
      <c r="A148" s="133"/>
      <c r="B148" s="213"/>
      <c r="C148" s="427" t="s">
        <v>72</v>
      </c>
      <c r="D148" s="293"/>
      <c r="E148" s="88"/>
      <c r="F148" s="90"/>
      <c r="G148" s="88"/>
      <c r="H148" s="108"/>
      <c r="I148" s="88"/>
      <c r="J148" s="608"/>
      <c r="K148" s="88"/>
      <c r="L148" s="88"/>
      <c r="M148" s="88"/>
      <c r="N148" s="88"/>
      <c r="O148" s="88"/>
      <c r="P148" s="88"/>
      <c r="Q148" s="108"/>
      <c r="R148" s="88"/>
      <c r="S148" s="131">
        <v>18</v>
      </c>
      <c r="T148" s="88"/>
      <c r="U148" s="88"/>
      <c r="V148" s="113"/>
      <c r="W148" s="88"/>
      <c r="X148" s="88"/>
      <c r="Y148" s="88"/>
      <c r="Z148" s="85"/>
      <c r="AA148" s="125"/>
      <c r="AB148" s="123"/>
    </row>
    <row r="149" spans="1:28" ht="16.5" thickBot="1">
      <c r="A149" s="346" t="str">
        <f>A50</f>
        <v>Апельсины</v>
      </c>
      <c r="B149" s="347">
        <f>B50</f>
        <v>200</v>
      </c>
      <c r="C149" s="348" t="s">
        <v>73</v>
      </c>
      <c r="D149" s="423"/>
      <c r="E149" s="350"/>
      <c r="F149" s="363"/>
      <c r="G149" s="350"/>
      <c r="H149" s="349"/>
      <c r="I149" s="350"/>
      <c r="J149" s="569"/>
      <c r="K149" s="350"/>
      <c r="L149" s="350"/>
      <c r="M149" s="350"/>
      <c r="N149" s="350"/>
      <c r="O149" s="350"/>
      <c r="P149" s="350"/>
      <c r="Q149" s="349"/>
      <c r="R149" s="350"/>
      <c r="S149" s="341">
        <f>S148*B124/1000</f>
        <v>1.8</v>
      </c>
      <c r="T149" s="350"/>
      <c r="U149" s="350"/>
      <c r="V149" s="350"/>
      <c r="W149" s="350"/>
      <c r="X149" s="350"/>
      <c r="Y149" s="350"/>
      <c r="Z149" s="382"/>
      <c r="AA149" s="343">
        <f>ROUND(E149+G149+I149+J149+K149+L149+M149+N149+O149+R149+S149+T149+U149+W149+X149++Y149,2)</f>
        <v>1.8</v>
      </c>
      <c r="AB149" s="344">
        <f>AA149*B149</f>
        <v>360</v>
      </c>
    </row>
    <row r="150" spans="1:28" ht="15.75" thickTop="1">
      <c r="A150" s="133"/>
      <c r="B150" s="22"/>
      <c r="C150" s="77" t="s">
        <v>72</v>
      </c>
      <c r="D150" s="293"/>
      <c r="E150" s="104"/>
      <c r="F150" s="103"/>
      <c r="G150" s="113"/>
      <c r="H150" s="108"/>
      <c r="I150" s="104"/>
      <c r="J150" s="608"/>
      <c r="K150" s="104"/>
      <c r="L150" s="184"/>
      <c r="M150" s="184"/>
      <c r="N150" s="131">
        <v>3.6</v>
      </c>
      <c r="O150" s="104"/>
      <c r="P150" s="104"/>
      <c r="Q150" s="108"/>
      <c r="R150" s="104"/>
      <c r="S150" s="104"/>
      <c r="T150" s="104"/>
      <c r="U150" s="104"/>
      <c r="V150" s="137"/>
      <c r="W150" s="104"/>
      <c r="X150" s="104"/>
      <c r="Y150" s="104"/>
      <c r="Z150" s="85"/>
      <c r="AA150" s="125"/>
      <c r="AB150" s="123"/>
    </row>
    <row r="151" spans="1:28" ht="16.5" thickBot="1">
      <c r="A151" s="346" t="str">
        <f>A52</f>
        <v>Крупа пшено</v>
      </c>
      <c r="B151" s="347">
        <f>B52</f>
        <v>40.08</v>
      </c>
      <c r="C151" s="348" t="s">
        <v>73</v>
      </c>
      <c r="D151" s="423"/>
      <c r="E151" s="350"/>
      <c r="F151" s="363"/>
      <c r="G151" s="350"/>
      <c r="H151" s="349"/>
      <c r="I151" s="350"/>
      <c r="J151" s="569"/>
      <c r="K151" s="350"/>
      <c r="L151" s="341"/>
      <c r="M151" s="341"/>
      <c r="N151" s="341">
        <f>N150*B124/1000</f>
        <v>0.36</v>
      </c>
      <c r="O151" s="350"/>
      <c r="P151" s="350"/>
      <c r="Q151" s="349"/>
      <c r="R151" s="350"/>
      <c r="S151" s="350"/>
      <c r="T151" s="350"/>
      <c r="U151" s="350"/>
      <c r="V151" s="350"/>
      <c r="W151" s="350"/>
      <c r="X151" s="350"/>
      <c r="Y151" s="350"/>
      <c r="Z151" s="382"/>
      <c r="AA151" s="343">
        <f>ROUND(E151+G151+I151+J151+K151+L151+M151+N151+O151+R151+S151+T151+U151+W151+X151++Y151,2)</f>
        <v>0.36</v>
      </c>
      <c r="AB151" s="344">
        <f>AA151*B151</f>
        <v>14.428799999999999</v>
      </c>
    </row>
    <row r="152" spans="1:28">
      <c r="A152" s="22"/>
      <c r="B152" s="1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18" t="s">
        <v>71</v>
      </c>
    </row>
    <row r="153" spans="1:28">
      <c r="A153" s="26" t="s">
        <v>53</v>
      </c>
      <c r="B153" s="5"/>
      <c r="C153" s="65"/>
      <c r="D153" s="65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28" t="s">
        <v>41</v>
      </c>
      <c r="P153" s="14"/>
      <c r="Q153" s="14"/>
      <c r="R153" s="14"/>
      <c r="S153" s="28" t="s">
        <v>11</v>
      </c>
      <c r="T153" s="28"/>
      <c r="U153" s="14"/>
      <c r="V153" s="14"/>
      <c r="W153" s="14"/>
      <c r="X153" s="14"/>
      <c r="Y153" s="22"/>
      <c r="Z153" s="14"/>
      <c r="AA153" s="1047" t="s">
        <v>8</v>
      </c>
      <c r="AB153" s="1048"/>
    </row>
    <row r="154" spans="1:28" ht="12.75" customHeight="1">
      <c r="A154" s="158"/>
      <c r="B154" s="5" t="s">
        <v>65</v>
      </c>
      <c r="C154" s="5" t="s">
        <v>52</v>
      </c>
      <c r="D154" s="602"/>
      <c r="E154" s="1052" t="str">
        <f>D118</f>
        <v xml:space="preserve">                                 З А В Т Р А К                                                                                                       </v>
      </c>
      <c r="F154" s="1052"/>
      <c r="G154" s="1052"/>
      <c r="H154" s="1052"/>
      <c r="I154" s="1052"/>
      <c r="J154" s="1052"/>
      <c r="K154" s="1053"/>
      <c r="L154" s="153" t="s">
        <v>69</v>
      </c>
      <c r="M154" s="651"/>
      <c r="N154" s="1056" t="s">
        <v>16</v>
      </c>
      <c r="O154" s="1052"/>
      <c r="P154" s="1052"/>
      <c r="Q154" s="1052"/>
      <c r="R154" s="1052"/>
      <c r="S154" s="1052"/>
      <c r="T154" s="1053"/>
      <c r="U154" s="1056" t="s">
        <v>17</v>
      </c>
      <c r="V154" s="1052"/>
      <c r="W154" s="1052"/>
      <c r="X154" s="1052"/>
      <c r="Y154" s="1052"/>
      <c r="Z154" s="1052"/>
      <c r="AA154" s="1058" t="s">
        <v>3</v>
      </c>
      <c r="AB154" s="1059"/>
    </row>
    <row r="155" spans="1:28">
      <c r="A155" s="157"/>
      <c r="B155" s="5"/>
      <c r="C155" s="5" t="s">
        <v>51</v>
      </c>
      <c r="D155" s="602"/>
      <c r="E155" s="1054"/>
      <c r="F155" s="1054"/>
      <c r="G155" s="1054"/>
      <c r="H155" s="1054"/>
      <c r="I155" s="1054"/>
      <c r="J155" s="1054"/>
      <c r="K155" s="1055"/>
      <c r="L155" s="154"/>
      <c r="M155" s="652"/>
      <c r="N155" s="1057"/>
      <c r="O155" s="1054"/>
      <c r="P155" s="1054"/>
      <c r="Q155" s="1054"/>
      <c r="R155" s="1054"/>
      <c r="S155" s="1054"/>
      <c r="T155" s="1055"/>
      <c r="U155" s="1057"/>
      <c r="V155" s="1054"/>
      <c r="W155" s="1054"/>
      <c r="X155" s="1054"/>
      <c r="Y155" s="1054"/>
      <c r="Z155" s="1054"/>
      <c r="AA155" s="1047" t="s">
        <v>36</v>
      </c>
      <c r="AB155" s="1048"/>
    </row>
    <row r="156" spans="1:28" ht="12.75" customHeight="1">
      <c r="A156" s="157" t="s">
        <v>54</v>
      </c>
      <c r="B156" s="4"/>
      <c r="C156" s="5" t="s">
        <v>9</v>
      </c>
      <c r="D156" s="1208" t="str">
        <f>D120</f>
        <v>Бутерб. с маслом сл.</v>
      </c>
      <c r="E156" s="1044" t="str">
        <f>E120</f>
        <v xml:space="preserve">  5. /20</v>
      </c>
      <c r="F156" s="1035" t="str">
        <f>F120</f>
        <v>Суп мол. с вермиш.</v>
      </c>
      <c r="G156" s="1038"/>
      <c r="H156" s="1041" t="str">
        <f>H120</f>
        <v>Чай с сахаром</v>
      </c>
      <c r="I156" s="1038"/>
      <c r="J156" s="1044" t="str">
        <f>J120</f>
        <v>Батон витаминиз.</v>
      </c>
      <c r="K156" s="1044" t="str">
        <f>K120</f>
        <v>Печенье, вафли</v>
      </c>
      <c r="L156" s="1044" t="str">
        <f>L120</f>
        <v>Сок фруковый</v>
      </c>
      <c r="M156" s="1044" t="str">
        <f>M122</f>
        <v>Салат из морк. и яблок</v>
      </c>
      <c r="N156" s="1044" t="str">
        <f>N120</f>
        <v>Суп карт. с крупой</v>
      </c>
      <c r="O156" s="1044" t="str">
        <f>O120</f>
        <v>Рагу овощное</v>
      </c>
      <c r="P156" s="1044">
        <f>P120</f>
        <v>0</v>
      </c>
      <c r="Q156" s="1041" t="str">
        <f>Q120</f>
        <v>Шницель из курицы</v>
      </c>
      <c r="R156" s="1038"/>
      <c r="S156" s="1205" t="str">
        <f t="shared" ref="S156:Z156" si="1">S120</f>
        <v>Компот из апельсинов</v>
      </c>
      <c r="T156" s="1200" t="str">
        <f t="shared" si="1"/>
        <v>Хлеб ржано-пшеничный</v>
      </c>
      <c r="U156" s="1041" t="str">
        <f t="shared" si="1"/>
        <v>Соус молочный</v>
      </c>
      <c r="V156" s="1041" t="str">
        <f>V120</f>
        <v xml:space="preserve">Пудинг из творога с рис. </v>
      </c>
      <c r="W156" s="1153"/>
      <c r="X156" s="1044" t="str">
        <f t="shared" si="1"/>
        <v>Йогурт</v>
      </c>
      <c r="Y156" s="1200" t="str">
        <f t="shared" si="1"/>
        <v>Хлеб йодирован. пшен.</v>
      </c>
      <c r="Z156" s="1214">
        <f t="shared" si="1"/>
        <v>0</v>
      </c>
      <c r="AA156" s="24"/>
      <c r="AB156" s="23"/>
    </row>
    <row r="157" spans="1:28">
      <c r="A157" s="157"/>
      <c r="B157" s="34">
        <v>2</v>
      </c>
      <c r="C157" s="5" t="s">
        <v>10</v>
      </c>
      <c r="D157" s="1209"/>
      <c r="E157" s="1045"/>
      <c r="F157" s="1036"/>
      <c r="G157" s="1039"/>
      <c r="H157" s="1042"/>
      <c r="I157" s="1039"/>
      <c r="J157" s="1045"/>
      <c r="K157" s="1045"/>
      <c r="L157" s="1045"/>
      <c r="M157" s="1045"/>
      <c r="N157" s="1045"/>
      <c r="O157" s="1045"/>
      <c r="P157" s="1045"/>
      <c r="Q157" s="1042"/>
      <c r="R157" s="1039"/>
      <c r="S157" s="1206"/>
      <c r="T157" s="1201"/>
      <c r="U157" s="1042"/>
      <c r="V157" s="1203"/>
      <c r="W157" s="1146"/>
      <c r="X157" s="1045"/>
      <c r="Y157" s="1201"/>
      <c r="Z157" s="1215"/>
      <c r="AA157" s="19" t="s">
        <v>6</v>
      </c>
      <c r="AB157" s="156" t="s">
        <v>4</v>
      </c>
    </row>
    <row r="158" spans="1:28" ht="15" customHeight="1">
      <c r="A158" s="159"/>
      <c r="B158" s="13"/>
      <c r="C158" s="4"/>
      <c r="D158" s="1210"/>
      <c r="E158" s="1046"/>
      <c r="F158" s="1037"/>
      <c r="G158" s="1040"/>
      <c r="H158" s="1043"/>
      <c r="I158" s="1040"/>
      <c r="J158" s="1046"/>
      <c r="K158" s="1046"/>
      <c r="L158" s="1046"/>
      <c r="M158" s="1046"/>
      <c r="N158" s="1046"/>
      <c r="O158" s="1046"/>
      <c r="P158" s="1046"/>
      <c r="Q158" s="1043"/>
      <c r="R158" s="1040"/>
      <c r="S158" s="1207"/>
      <c r="T158" s="1202"/>
      <c r="U158" s="1043"/>
      <c r="V158" s="1204"/>
      <c r="W158" s="1131"/>
      <c r="X158" s="1046"/>
      <c r="Y158" s="1202"/>
      <c r="Z158" s="1216"/>
      <c r="AA158" s="4" t="s">
        <v>7</v>
      </c>
      <c r="AB158" s="155" t="s">
        <v>5</v>
      </c>
    </row>
    <row r="159" spans="1:28" ht="13.5" thickBot="1">
      <c r="A159" s="64">
        <v>1</v>
      </c>
      <c r="B159" s="810">
        <v>2</v>
      </c>
      <c r="C159" s="72">
        <v>3</v>
      </c>
      <c r="D159" s="76">
        <v>4</v>
      </c>
      <c r="E159" s="80">
        <v>5</v>
      </c>
      <c r="F159" s="86">
        <v>6</v>
      </c>
      <c r="G159" s="76">
        <v>7</v>
      </c>
      <c r="H159" s="87">
        <v>8</v>
      </c>
      <c r="I159" s="80">
        <v>9</v>
      </c>
      <c r="J159" s="81">
        <v>10</v>
      </c>
      <c r="K159" s="96">
        <v>11</v>
      </c>
      <c r="L159" s="96">
        <v>12</v>
      </c>
      <c r="M159" s="96">
        <v>13</v>
      </c>
      <c r="N159" s="81">
        <v>14</v>
      </c>
      <c r="O159" s="81">
        <v>15</v>
      </c>
      <c r="P159" s="80">
        <v>14</v>
      </c>
      <c r="Q159" s="97">
        <v>16</v>
      </c>
      <c r="R159" s="93">
        <v>17</v>
      </c>
      <c r="S159" s="96">
        <v>18</v>
      </c>
      <c r="T159" s="98">
        <v>19</v>
      </c>
      <c r="U159" s="80">
        <v>20</v>
      </c>
      <c r="V159" s="80">
        <v>21</v>
      </c>
      <c r="W159" s="96">
        <v>22</v>
      </c>
      <c r="X159" s="81">
        <v>23</v>
      </c>
      <c r="Y159" s="96">
        <v>24</v>
      </c>
      <c r="Z159" s="82">
        <v>23</v>
      </c>
      <c r="AA159" s="35">
        <v>25</v>
      </c>
      <c r="AB159" s="809">
        <v>26</v>
      </c>
    </row>
    <row r="160" spans="1:28" ht="15" customHeight="1" thickTop="1">
      <c r="A160" s="135"/>
      <c r="B160" s="496"/>
      <c r="C160" s="77" t="s">
        <v>72</v>
      </c>
      <c r="D160" s="294"/>
      <c r="E160" s="94"/>
      <c r="F160" s="109"/>
      <c r="G160" s="94"/>
      <c r="H160" s="109"/>
      <c r="I160" s="94"/>
      <c r="J160" s="667"/>
      <c r="K160" s="277"/>
      <c r="L160" s="94"/>
      <c r="M160" s="130"/>
      <c r="N160" s="130">
        <v>83.2</v>
      </c>
      <c r="O160" s="130">
        <v>63</v>
      </c>
      <c r="P160" s="94"/>
      <c r="Q160" s="436"/>
      <c r="R160" s="94"/>
      <c r="S160" s="94"/>
      <c r="T160" s="94"/>
      <c r="U160" s="130"/>
      <c r="V160" s="181"/>
      <c r="W160" s="94"/>
      <c r="X160" s="94"/>
      <c r="Y160" s="94"/>
      <c r="Z160" s="83"/>
      <c r="AA160" s="117"/>
      <c r="AB160" s="116"/>
    </row>
    <row r="161" spans="1:28" ht="16.5" thickBot="1">
      <c r="A161" s="346" t="str">
        <f>A62</f>
        <v>Картофель</v>
      </c>
      <c r="B161" s="347">
        <f>B62</f>
        <v>28</v>
      </c>
      <c r="C161" s="348" t="s">
        <v>73</v>
      </c>
      <c r="D161" s="348"/>
      <c r="E161" s="337"/>
      <c r="F161" s="338"/>
      <c r="G161" s="337"/>
      <c r="H161" s="338"/>
      <c r="I161" s="337"/>
      <c r="J161" s="668"/>
      <c r="K161" s="353"/>
      <c r="L161" s="337"/>
      <c r="M161" s="341"/>
      <c r="N161" s="339">
        <f>N160*B124/1000</f>
        <v>8.32</v>
      </c>
      <c r="O161" s="339">
        <f>O160*B124/1000</f>
        <v>6.3</v>
      </c>
      <c r="P161" s="337"/>
      <c r="Q161" s="613"/>
      <c r="R161" s="337"/>
      <c r="S161" s="337"/>
      <c r="T161" s="337"/>
      <c r="U161" s="350"/>
      <c r="V161" s="350"/>
      <c r="W161" s="337"/>
      <c r="X161" s="337"/>
      <c r="Y161" s="337"/>
      <c r="Z161" s="380"/>
      <c r="AA161" s="343">
        <f>ROUND(E161+G161+I161+J161+K161+L161+M161+N161+O161+R161+S161+T161+U161+W161+X161++Y161,2)</f>
        <v>14.62</v>
      </c>
      <c r="AB161" s="344">
        <f>AA161*B161</f>
        <v>409.35999999999996</v>
      </c>
    </row>
    <row r="162" spans="1:28" ht="15" customHeight="1" thickTop="1">
      <c r="A162" s="133"/>
      <c r="B162" s="215"/>
      <c r="C162" s="77" t="s">
        <v>72</v>
      </c>
      <c r="D162" s="295"/>
      <c r="E162" s="106"/>
      <c r="F162" s="112"/>
      <c r="G162" s="106"/>
      <c r="H162" s="112"/>
      <c r="I162" s="106"/>
      <c r="J162" s="669"/>
      <c r="K162" s="268"/>
      <c r="L162" s="106"/>
      <c r="M162" s="106"/>
      <c r="N162" s="106"/>
      <c r="O162" s="250">
        <v>27.5</v>
      </c>
      <c r="P162" s="106"/>
      <c r="Q162" s="112"/>
      <c r="R162" s="113"/>
      <c r="S162" s="106"/>
      <c r="T162" s="106"/>
      <c r="U162" s="250"/>
      <c r="V162" s="256"/>
      <c r="W162" s="106"/>
      <c r="X162" s="106"/>
      <c r="Y162" s="106"/>
      <c r="Z162" s="101"/>
      <c r="AA162" s="125"/>
      <c r="AB162" s="123"/>
    </row>
    <row r="163" spans="1:28" ht="16.5" thickBot="1">
      <c r="A163" s="346" t="str">
        <f>A64</f>
        <v>Капуста св.</v>
      </c>
      <c r="B163" s="347">
        <f>B64</f>
        <v>30</v>
      </c>
      <c r="C163" s="348" t="s">
        <v>73</v>
      </c>
      <c r="D163" s="348"/>
      <c r="E163" s="337"/>
      <c r="F163" s="338"/>
      <c r="G163" s="337"/>
      <c r="H163" s="338"/>
      <c r="I163" s="337"/>
      <c r="J163" s="668"/>
      <c r="K163" s="353"/>
      <c r="L163" s="337"/>
      <c r="M163" s="337"/>
      <c r="N163" s="337"/>
      <c r="O163" s="339">
        <f>O162*B124/1000</f>
        <v>2.75</v>
      </c>
      <c r="P163" s="337"/>
      <c r="Q163" s="349"/>
      <c r="R163" s="340"/>
      <c r="S163" s="337"/>
      <c r="T163" s="337"/>
      <c r="U163" s="350"/>
      <c r="V163" s="350"/>
      <c r="W163" s="337"/>
      <c r="X163" s="337"/>
      <c r="Y163" s="337"/>
      <c r="Z163" s="380"/>
      <c r="AA163" s="343">
        <f>ROUND(E163+G163+I163+J163+K163+L163+M163+N163+O163+R163+S163+T163+U163+W163+X163++Y163,2)</f>
        <v>2.75</v>
      </c>
      <c r="AB163" s="344">
        <f>AA163*B163</f>
        <v>82.5</v>
      </c>
    </row>
    <row r="164" spans="1:28" ht="15" customHeight="1" thickTop="1">
      <c r="A164" s="133"/>
      <c r="B164" s="215"/>
      <c r="C164" s="77" t="s">
        <v>72</v>
      </c>
      <c r="D164" s="295"/>
      <c r="E164" s="106"/>
      <c r="F164" s="112"/>
      <c r="G164" s="106"/>
      <c r="H164" s="112"/>
      <c r="I164" s="106"/>
      <c r="J164" s="669"/>
      <c r="K164" s="268"/>
      <c r="L164" s="106"/>
      <c r="M164" s="127"/>
      <c r="N164" s="127">
        <v>8.6</v>
      </c>
      <c r="O164" s="250">
        <v>12.2</v>
      </c>
      <c r="P164" s="106"/>
      <c r="Q164" s="112"/>
      <c r="R164" s="129"/>
      <c r="S164" s="106"/>
      <c r="T164" s="106"/>
      <c r="U164" s="250"/>
      <c r="V164" s="256"/>
      <c r="W164" s="106"/>
      <c r="X164" s="106"/>
      <c r="Y164" s="106"/>
      <c r="Z164" s="101"/>
      <c r="AA164" s="125"/>
      <c r="AB164" s="124"/>
    </row>
    <row r="165" spans="1:28" ht="16.5" thickBot="1">
      <c r="A165" s="346" t="str">
        <f>A66</f>
        <v>Лук репч.</v>
      </c>
      <c r="B165" s="347">
        <f>B66</f>
        <v>37</v>
      </c>
      <c r="C165" s="348" t="s">
        <v>73</v>
      </c>
      <c r="D165" s="348"/>
      <c r="E165" s="337"/>
      <c r="F165" s="338"/>
      <c r="G165" s="337"/>
      <c r="H165" s="338"/>
      <c r="I165" s="337"/>
      <c r="J165" s="668"/>
      <c r="K165" s="353"/>
      <c r="L165" s="337"/>
      <c r="M165" s="341"/>
      <c r="N165" s="339">
        <f>N164*B124/1000</f>
        <v>0.86</v>
      </c>
      <c r="O165" s="339">
        <f>O164*B124/1000</f>
        <v>1.22</v>
      </c>
      <c r="P165" s="337"/>
      <c r="Q165" s="349"/>
      <c r="R165" s="340"/>
      <c r="S165" s="337"/>
      <c r="T165" s="337"/>
      <c r="U165" s="350"/>
      <c r="V165" s="350"/>
      <c r="W165" s="337"/>
      <c r="X165" s="337"/>
      <c r="Y165" s="337"/>
      <c r="Z165" s="380"/>
      <c r="AA165" s="343">
        <f>ROUND(E165+G165+I165+J165+K165+L165+M165+N165+O165+R165+S165+T165+U165+W165+X165++Y165,2)</f>
        <v>2.08</v>
      </c>
      <c r="AB165" s="351">
        <f>AA165*B165</f>
        <v>76.960000000000008</v>
      </c>
    </row>
    <row r="166" spans="1:28" ht="15" customHeight="1" thickTop="1">
      <c r="A166" s="133"/>
      <c r="B166" s="215"/>
      <c r="C166" s="77" t="s">
        <v>72</v>
      </c>
      <c r="D166" s="295"/>
      <c r="E166" s="106"/>
      <c r="F166" s="112"/>
      <c r="G166" s="106"/>
      <c r="H166" s="112"/>
      <c r="I166" s="106"/>
      <c r="J166" s="669"/>
      <c r="K166" s="268"/>
      <c r="L166" s="106"/>
      <c r="M166" s="127">
        <v>21.1</v>
      </c>
      <c r="N166" s="127">
        <v>9.6</v>
      </c>
      <c r="O166" s="250">
        <v>23.1</v>
      </c>
      <c r="P166" s="106"/>
      <c r="Q166" s="112"/>
      <c r="R166" s="129"/>
      <c r="S166" s="106"/>
      <c r="T166" s="106"/>
      <c r="U166" s="250"/>
      <c r="V166" s="128"/>
      <c r="W166" s="106"/>
      <c r="X166" s="106"/>
      <c r="Y166" s="106"/>
      <c r="Z166" s="101"/>
      <c r="AA166" s="125"/>
      <c r="AB166" s="123"/>
    </row>
    <row r="167" spans="1:28" ht="16.5" thickBot="1">
      <c r="A167" s="346" t="str">
        <f>A68</f>
        <v>Морковь</v>
      </c>
      <c r="B167" s="347">
        <f>B68</f>
        <v>38</v>
      </c>
      <c r="C167" s="348" t="s">
        <v>73</v>
      </c>
      <c r="D167" s="348"/>
      <c r="E167" s="337"/>
      <c r="F167" s="338"/>
      <c r="G167" s="337"/>
      <c r="H167" s="338"/>
      <c r="I167" s="337"/>
      <c r="J167" s="668"/>
      <c r="K167" s="353"/>
      <c r="L167" s="337"/>
      <c r="M167" s="341">
        <f>M166*B124/1000</f>
        <v>2.11</v>
      </c>
      <c r="N167" s="339">
        <f>N166*B124/1000</f>
        <v>0.96</v>
      </c>
      <c r="O167" s="339">
        <f>O166*B124/1000</f>
        <v>2.31</v>
      </c>
      <c r="P167" s="337"/>
      <c r="Q167" s="349"/>
      <c r="R167" s="340"/>
      <c r="S167" s="337"/>
      <c r="T167" s="337"/>
      <c r="U167" s="350"/>
      <c r="V167" s="341"/>
      <c r="W167" s="337"/>
      <c r="X167" s="337"/>
      <c r="Y167" s="337"/>
      <c r="Z167" s="380"/>
      <c r="AA167" s="343">
        <f>ROUND(E167+G167+I167+J167+K167+L167+M167+N167+O167+R167+S167+T167+U167+W167+X167++Y167,2)</f>
        <v>5.38</v>
      </c>
      <c r="AB167" s="344">
        <f>AA167*B167</f>
        <v>204.44</v>
      </c>
    </row>
    <row r="168" spans="1:28" ht="15" customHeight="1" thickTop="1">
      <c r="A168" s="133"/>
      <c r="B168" s="213"/>
      <c r="C168" s="427" t="s">
        <v>72</v>
      </c>
      <c r="D168" s="293"/>
      <c r="E168" s="129"/>
      <c r="F168" s="177"/>
      <c r="G168" s="128"/>
      <c r="H168" s="112"/>
      <c r="I168" s="106"/>
      <c r="J168" s="669"/>
      <c r="K168" s="268"/>
      <c r="L168" s="106"/>
      <c r="M168" s="127">
        <v>14.7</v>
      </c>
      <c r="N168" s="128"/>
      <c r="O168" s="250"/>
      <c r="P168" s="106"/>
      <c r="Q168" s="112"/>
      <c r="R168" s="106"/>
      <c r="S168" s="106"/>
      <c r="T168" s="106"/>
      <c r="U168" s="250"/>
      <c r="V168" s="128"/>
      <c r="W168" s="127"/>
      <c r="X168" s="106"/>
      <c r="Y168" s="106"/>
      <c r="Z168" s="101"/>
      <c r="AA168" s="125"/>
      <c r="AB168" s="123"/>
    </row>
    <row r="169" spans="1:28" ht="16.5" thickBot="1">
      <c r="A169" s="346" t="str">
        <f>A70</f>
        <v>Яблоки св.</v>
      </c>
      <c r="B169" s="347">
        <f>B70</f>
        <v>100</v>
      </c>
      <c r="C169" s="348" t="s">
        <v>73</v>
      </c>
      <c r="D169" s="423"/>
      <c r="E169" s="350"/>
      <c r="F169" s="349"/>
      <c r="G169" s="340"/>
      <c r="H169" s="338"/>
      <c r="I169" s="337"/>
      <c r="J169" s="668"/>
      <c r="K169" s="353"/>
      <c r="L169" s="337"/>
      <c r="M169" s="341">
        <f>M168*B124/1000</f>
        <v>1.47</v>
      </c>
      <c r="N169" s="342"/>
      <c r="O169" s="340"/>
      <c r="P169" s="337"/>
      <c r="Q169" s="338"/>
      <c r="R169" s="337"/>
      <c r="S169" s="337"/>
      <c r="T169" s="337"/>
      <c r="U169" s="340"/>
      <c r="V169" s="340"/>
      <c r="W169" s="340"/>
      <c r="X169" s="337"/>
      <c r="Y169" s="337"/>
      <c r="Z169" s="380"/>
      <c r="AA169" s="343">
        <f>ROUND(E169+G169+I169+J169+K169+L169+M169+N169+O169+R169+S169+T169+U169+W169+X169++Y169,2)</f>
        <v>1.47</v>
      </c>
      <c r="AB169" s="344">
        <f>AA169*B169</f>
        <v>147</v>
      </c>
    </row>
    <row r="170" spans="1:28" ht="15" customHeight="1" thickTop="1">
      <c r="A170" s="133"/>
      <c r="B170" s="215"/>
      <c r="C170" s="77" t="s">
        <v>72</v>
      </c>
      <c r="D170" s="293">
        <v>20</v>
      </c>
      <c r="E170" s="129">
        <f>D170/D125*E125</f>
        <v>20</v>
      </c>
      <c r="F170" s="177"/>
      <c r="G170" s="106"/>
      <c r="H170" s="112"/>
      <c r="I170" s="106"/>
      <c r="J170" s="566">
        <f>J171/B124*1000</f>
        <v>10</v>
      </c>
      <c r="K170" s="184"/>
      <c r="L170" s="106"/>
      <c r="M170" s="106"/>
      <c r="N170" s="106"/>
      <c r="O170" s="106"/>
      <c r="P170" s="106"/>
      <c r="Q170" s="108">
        <f>7.5/60*Q125</f>
        <v>7.5</v>
      </c>
      <c r="R170" s="128">
        <f>Q170/Q125*R125</f>
        <v>7.5</v>
      </c>
      <c r="S170" s="106"/>
      <c r="T170" s="106"/>
      <c r="U170" s="251"/>
      <c r="V170" s="114"/>
      <c r="W170" s="106"/>
      <c r="X170" s="114"/>
      <c r="Y170" s="128"/>
      <c r="Z170" s="101"/>
      <c r="AA170" s="125"/>
      <c r="AB170" s="123"/>
    </row>
    <row r="171" spans="1:28" ht="16.5" thickBot="1">
      <c r="A171" s="346" t="str">
        <f>A72</f>
        <v>Батон витам.</v>
      </c>
      <c r="B171" s="347">
        <f>B72</f>
        <v>81.099999999999994</v>
      </c>
      <c r="C171" s="348" t="s">
        <v>73</v>
      </c>
      <c r="D171" s="423">
        <f>D170*F124/1000</f>
        <v>2</v>
      </c>
      <c r="E171" s="341">
        <f>D171</f>
        <v>2</v>
      </c>
      <c r="F171" s="349"/>
      <c r="G171" s="337"/>
      <c r="H171" s="338"/>
      <c r="I171" s="337"/>
      <c r="J171" s="670">
        <v>1</v>
      </c>
      <c r="K171" s="354"/>
      <c r="L171" s="337"/>
      <c r="M171" s="337"/>
      <c r="N171" s="337"/>
      <c r="O171" s="337"/>
      <c r="P171" s="337"/>
      <c r="Q171" s="349">
        <f>Q170*F124/1000</f>
        <v>0.75</v>
      </c>
      <c r="R171" s="339">
        <f>Q171</f>
        <v>0.75</v>
      </c>
      <c r="S171" s="337"/>
      <c r="T171" s="337"/>
      <c r="U171" s="358"/>
      <c r="V171" s="381"/>
      <c r="W171" s="337"/>
      <c r="X171" s="337"/>
      <c r="Y171" s="339"/>
      <c r="Z171" s="380"/>
      <c r="AA171" s="343">
        <f>ROUND(E171+G171+I171+J171+K171+L171+M171+N171+O171+R171+S171+T171+U171+W171+X171++Y171,2)</f>
        <v>3.75</v>
      </c>
      <c r="AB171" s="344">
        <f>AA171*B171</f>
        <v>304.125</v>
      </c>
    </row>
    <row r="172" spans="1:28" ht="15" customHeight="1" thickTop="1">
      <c r="A172" s="133"/>
      <c r="B172" s="215"/>
      <c r="C172" s="77" t="s">
        <v>72</v>
      </c>
      <c r="D172" s="295"/>
      <c r="E172" s="106"/>
      <c r="F172" s="177"/>
      <c r="G172" s="106"/>
      <c r="H172" s="112"/>
      <c r="I172" s="106"/>
      <c r="J172" s="669"/>
      <c r="K172" s="268"/>
      <c r="L172" s="106"/>
      <c r="M172" s="106"/>
      <c r="N172" s="106"/>
      <c r="O172" s="106"/>
      <c r="P172" s="106"/>
      <c r="Q172" s="112"/>
      <c r="R172" s="106"/>
      <c r="S172" s="106"/>
      <c r="T172" s="128">
        <f>T173/T124*1000</f>
        <v>30</v>
      </c>
      <c r="U172" s="251"/>
      <c r="V172" s="114"/>
      <c r="W172" s="106"/>
      <c r="X172" s="106"/>
      <c r="Y172" s="106"/>
      <c r="Z172" s="101"/>
      <c r="AA172" s="125"/>
      <c r="AB172" s="123"/>
    </row>
    <row r="173" spans="1:28" ht="16.5" thickBot="1">
      <c r="A173" s="346" t="str">
        <f>A74</f>
        <v>Хлеб рж-пшен.</v>
      </c>
      <c r="B173" s="347">
        <f>B74</f>
        <v>55</v>
      </c>
      <c r="C173" s="348" t="s">
        <v>73</v>
      </c>
      <c r="D173" s="348"/>
      <c r="E173" s="337"/>
      <c r="F173" s="349"/>
      <c r="G173" s="337"/>
      <c r="H173" s="338"/>
      <c r="I173" s="337"/>
      <c r="J173" s="668"/>
      <c r="K173" s="353"/>
      <c r="L173" s="337"/>
      <c r="M173" s="337"/>
      <c r="N173" s="337"/>
      <c r="O173" s="337"/>
      <c r="P173" s="337"/>
      <c r="Q173" s="338"/>
      <c r="R173" s="337"/>
      <c r="S173" s="337"/>
      <c r="T173" s="342">
        <v>3</v>
      </c>
      <c r="U173" s="358"/>
      <c r="V173" s="381"/>
      <c r="W173" s="337"/>
      <c r="X173" s="337"/>
      <c r="Y173" s="337"/>
      <c r="Z173" s="380"/>
      <c r="AA173" s="343">
        <f>ROUND(E173+G173+I173+J173+K173+L173+M173+N173+O173+R173+S173+T173+U173+W173+X173++Y173,2)</f>
        <v>3</v>
      </c>
      <c r="AB173" s="344">
        <f>AA173*B173</f>
        <v>165</v>
      </c>
    </row>
    <row r="174" spans="1:28" ht="15" customHeight="1" thickTop="1">
      <c r="A174" s="133"/>
      <c r="B174" s="215"/>
      <c r="C174" s="77" t="s">
        <v>72</v>
      </c>
      <c r="D174" s="295"/>
      <c r="E174" s="106"/>
      <c r="F174" s="177"/>
      <c r="G174" s="106"/>
      <c r="H174" s="112"/>
      <c r="I174" s="106"/>
      <c r="J174" s="669"/>
      <c r="K174" s="268"/>
      <c r="L174" s="106"/>
      <c r="M174" s="106"/>
      <c r="N174" s="106"/>
      <c r="O174" s="127"/>
      <c r="P174" s="106"/>
      <c r="Q174" s="112"/>
      <c r="R174" s="106"/>
      <c r="S174" s="106"/>
      <c r="T174" s="106"/>
      <c r="U174" s="251"/>
      <c r="V174" s="114"/>
      <c r="W174" s="106"/>
      <c r="X174" s="106"/>
      <c r="Y174" s="128">
        <f>Y175/Y124*1000</f>
        <v>10</v>
      </c>
      <c r="Z174" s="101"/>
      <c r="AA174" s="125"/>
      <c r="AB174" s="123"/>
    </row>
    <row r="175" spans="1:28" ht="16.5" thickBot="1">
      <c r="A175" s="346" t="str">
        <f>A76</f>
        <v xml:space="preserve">Хлеб  йод. пш. </v>
      </c>
      <c r="B175" s="347">
        <f>B76</f>
        <v>61.3</v>
      </c>
      <c r="C175" s="348" t="s">
        <v>73</v>
      </c>
      <c r="D175" s="348"/>
      <c r="E175" s="337"/>
      <c r="F175" s="349"/>
      <c r="G175" s="337"/>
      <c r="H175" s="338"/>
      <c r="I175" s="337"/>
      <c r="J175" s="668"/>
      <c r="K175" s="353"/>
      <c r="L175" s="337"/>
      <c r="M175" s="337"/>
      <c r="N175" s="337"/>
      <c r="O175" s="340"/>
      <c r="P175" s="337"/>
      <c r="Q175" s="338"/>
      <c r="R175" s="337"/>
      <c r="S175" s="337"/>
      <c r="T175" s="337"/>
      <c r="U175" s="358"/>
      <c r="V175" s="381"/>
      <c r="W175" s="337"/>
      <c r="X175" s="337"/>
      <c r="Y175" s="342">
        <v>1</v>
      </c>
      <c r="Z175" s="380"/>
      <c r="AA175" s="343">
        <f>ROUND(E175+G175+I175+J175+K175+L175+M175+N175+O175+R175+S175+T175+U175+W175+X175++Y175,2)</f>
        <v>1</v>
      </c>
      <c r="AB175" s="344">
        <f>AA175*B175</f>
        <v>61.3</v>
      </c>
    </row>
    <row r="176" spans="1:28" ht="15" customHeight="1" thickTop="1">
      <c r="A176" s="133"/>
      <c r="B176" s="215"/>
      <c r="C176" s="77" t="s">
        <v>72</v>
      </c>
      <c r="D176" s="295"/>
      <c r="E176" s="106"/>
      <c r="F176" s="112"/>
      <c r="G176" s="113"/>
      <c r="H176" s="112"/>
      <c r="I176" s="106"/>
      <c r="J176" s="669"/>
      <c r="K176" s="268"/>
      <c r="L176" s="106"/>
      <c r="M176" s="106"/>
      <c r="N176" s="106"/>
      <c r="O176" s="106"/>
      <c r="P176" s="106"/>
      <c r="Q176" s="112"/>
      <c r="R176" s="106"/>
      <c r="S176" s="106"/>
      <c r="T176" s="106"/>
      <c r="U176" s="106"/>
      <c r="V176" s="114"/>
      <c r="W176" s="128"/>
      <c r="X176" s="131">
        <f>X177/B124*1000</f>
        <v>154</v>
      </c>
      <c r="Y176" s="106"/>
      <c r="Z176" s="101"/>
      <c r="AA176" s="125"/>
      <c r="AB176" s="123"/>
    </row>
    <row r="177" spans="1:28" ht="16.5" thickBot="1">
      <c r="A177" s="346" t="str">
        <f>A78</f>
        <v>Йогурт</v>
      </c>
      <c r="B177" s="347">
        <f>B78</f>
        <v>105</v>
      </c>
      <c r="C177" s="348" t="s">
        <v>73</v>
      </c>
      <c r="D177" s="348"/>
      <c r="E177" s="337"/>
      <c r="F177" s="363"/>
      <c r="G177" s="340"/>
      <c r="H177" s="338"/>
      <c r="I177" s="337"/>
      <c r="J177" s="668"/>
      <c r="K177" s="353"/>
      <c r="L177" s="337"/>
      <c r="M177" s="337"/>
      <c r="N177" s="337"/>
      <c r="O177" s="337"/>
      <c r="P177" s="337"/>
      <c r="Q177" s="338"/>
      <c r="R177" s="337"/>
      <c r="S177" s="337"/>
      <c r="T177" s="337"/>
      <c r="U177" s="337"/>
      <c r="V177" s="381"/>
      <c r="W177" s="340"/>
      <c r="X177" s="341">
        <v>15.4</v>
      </c>
      <c r="Y177" s="337"/>
      <c r="Z177" s="380"/>
      <c r="AA177" s="343">
        <f>ROUND(E177+G177+I177+J177+K177+L177+M177+N177+O177+R177+S177+T177+U177+W177+X177++Y177,2)</f>
        <v>15.4</v>
      </c>
      <c r="AB177" s="344">
        <f>AA177*B177</f>
        <v>1617</v>
      </c>
    </row>
    <row r="178" spans="1:28" ht="15" customHeight="1" thickTop="1">
      <c r="A178" s="133"/>
      <c r="B178" s="213"/>
      <c r="C178" s="427" t="s">
        <v>72</v>
      </c>
      <c r="D178" s="295"/>
      <c r="E178" s="106"/>
      <c r="F178" s="112"/>
      <c r="G178" s="106"/>
      <c r="H178" s="112">
        <v>0.3</v>
      </c>
      <c r="I178" s="128">
        <f>H178/H125*I125</f>
        <v>0.3</v>
      </c>
      <c r="J178" s="563"/>
      <c r="K178" s="268"/>
      <c r="L178" s="106"/>
      <c r="M178" s="106"/>
      <c r="N178" s="106"/>
      <c r="O178" s="251"/>
      <c r="P178" s="106"/>
      <c r="Q178" s="112"/>
      <c r="R178" s="106"/>
      <c r="S178" s="106"/>
      <c r="T178" s="106"/>
      <c r="U178" s="251"/>
      <c r="V178" s="114"/>
      <c r="W178" s="106"/>
      <c r="X178" s="127"/>
      <c r="Y178" s="106"/>
      <c r="Z178" s="101"/>
      <c r="AA178" s="125"/>
      <c r="AB178" s="123"/>
    </row>
    <row r="179" spans="1:28" ht="16.5" thickBot="1">
      <c r="A179" s="346" t="str">
        <f>A80</f>
        <v>Чай</v>
      </c>
      <c r="B179" s="347">
        <f>B80</f>
        <v>500</v>
      </c>
      <c r="C179" s="348" t="s">
        <v>73</v>
      </c>
      <c r="D179" s="348"/>
      <c r="E179" s="337"/>
      <c r="F179" s="338"/>
      <c r="G179" s="337"/>
      <c r="H179" s="338">
        <f>H178*H124/1000</f>
        <v>0.03</v>
      </c>
      <c r="I179" s="357">
        <f>H179</f>
        <v>0.03</v>
      </c>
      <c r="J179" s="671"/>
      <c r="K179" s="353"/>
      <c r="L179" s="337"/>
      <c r="M179" s="337"/>
      <c r="N179" s="337"/>
      <c r="O179" s="358"/>
      <c r="P179" s="337"/>
      <c r="Q179" s="338"/>
      <c r="R179" s="337"/>
      <c r="S179" s="337"/>
      <c r="T179" s="337"/>
      <c r="U179" s="358"/>
      <c r="V179" s="381"/>
      <c r="W179" s="337"/>
      <c r="X179" s="355"/>
      <c r="Y179" s="337"/>
      <c r="Z179" s="380"/>
      <c r="AA179" s="356">
        <f>ROUND(E179+G179+I179+J179+K179+L179+M179+N179+O179+R179+S179+T179+U179+W179+X179++Y179,3)</f>
        <v>0.03</v>
      </c>
      <c r="AB179" s="344">
        <f>AA179*B179</f>
        <v>15</v>
      </c>
    </row>
    <row r="180" spans="1:28" ht="15" customHeight="1" thickTop="1">
      <c r="A180" s="133"/>
      <c r="B180" s="215"/>
      <c r="C180" s="77" t="s">
        <v>72</v>
      </c>
      <c r="D180" s="295"/>
      <c r="E180" s="106"/>
      <c r="F180" s="112"/>
      <c r="G180" s="106"/>
      <c r="H180" s="112"/>
      <c r="I180" s="128"/>
      <c r="J180" s="669"/>
      <c r="K180" s="268"/>
      <c r="L180" s="114"/>
      <c r="M180" s="114"/>
      <c r="N180" s="106"/>
      <c r="O180" s="251"/>
      <c r="P180" s="106"/>
      <c r="Q180" s="112"/>
      <c r="R180" s="127"/>
      <c r="S180" s="106"/>
      <c r="T180" s="106"/>
      <c r="U180" s="251"/>
      <c r="V180" s="113">
        <f>2.4/80*V125</f>
        <v>2.4</v>
      </c>
      <c r="W180" s="129">
        <f>V180/V125*W125</f>
        <v>2.4</v>
      </c>
      <c r="X180" s="106"/>
      <c r="Y180" s="106"/>
      <c r="Z180" s="101"/>
      <c r="AA180" s="125"/>
      <c r="AB180" s="123"/>
    </row>
    <row r="181" spans="1:28" ht="16.5" thickBot="1">
      <c r="A181" s="346" t="str">
        <f>A82</f>
        <v>Сметана</v>
      </c>
      <c r="B181" s="347">
        <f>B82</f>
        <v>227</v>
      </c>
      <c r="C181" s="348" t="s">
        <v>73</v>
      </c>
      <c r="D181" s="348"/>
      <c r="E181" s="337"/>
      <c r="F181" s="338"/>
      <c r="G181" s="337"/>
      <c r="H181" s="349"/>
      <c r="I181" s="339"/>
      <c r="J181" s="668"/>
      <c r="K181" s="353"/>
      <c r="L181" s="342"/>
      <c r="M181" s="342"/>
      <c r="N181" s="337"/>
      <c r="O181" s="358"/>
      <c r="P181" s="337"/>
      <c r="Q181" s="338"/>
      <c r="R181" s="340"/>
      <c r="S181" s="337"/>
      <c r="T181" s="337"/>
      <c r="U181" s="358"/>
      <c r="V181" s="378">
        <f>V180*F124/1000</f>
        <v>0.24</v>
      </c>
      <c r="W181" s="341">
        <f>V181</f>
        <v>0.24</v>
      </c>
      <c r="X181" s="337"/>
      <c r="Y181" s="337"/>
      <c r="Z181" s="380"/>
      <c r="AA181" s="343">
        <f>ROUND(E181+G181+I181+J181+K181+L181+M181+N181+O181+R181+S181+T181+U181+W181+X181++Y181,2)</f>
        <v>0.24</v>
      </c>
      <c r="AB181" s="344">
        <f>AA181*B181</f>
        <v>54.48</v>
      </c>
    </row>
    <row r="182" spans="1:28" ht="15.75" customHeight="1" thickTop="1">
      <c r="A182" s="133"/>
      <c r="B182" s="213"/>
      <c r="C182" s="427" t="s">
        <v>72</v>
      </c>
      <c r="D182" s="295"/>
      <c r="E182" s="106"/>
      <c r="F182" s="112"/>
      <c r="G182" s="106"/>
      <c r="H182" s="112"/>
      <c r="I182" s="106"/>
      <c r="J182" s="669"/>
      <c r="K182" s="268"/>
      <c r="L182" s="106"/>
      <c r="M182" s="106"/>
      <c r="N182" s="106"/>
      <c r="O182" s="250"/>
      <c r="P182" s="106"/>
      <c r="Q182" s="112"/>
      <c r="R182" s="129"/>
      <c r="S182" s="106"/>
      <c r="T182" s="106"/>
      <c r="U182" s="250"/>
      <c r="V182" s="128"/>
      <c r="W182" s="106"/>
      <c r="X182" s="106"/>
      <c r="Y182" s="106"/>
      <c r="Z182" s="101"/>
      <c r="AA182" s="125"/>
      <c r="AB182" s="123"/>
    </row>
    <row r="183" spans="1:28" ht="16.5" thickBot="1">
      <c r="A183" s="346" t="str">
        <f>A84</f>
        <v>Томатная паста</v>
      </c>
      <c r="B183" s="347">
        <f>B84</f>
        <v>370</v>
      </c>
      <c r="C183" s="348" t="s">
        <v>73</v>
      </c>
      <c r="D183" s="348"/>
      <c r="E183" s="337"/>
      <c r="F183" s="338"/>
      <c r="G183" s="337"/>
      <c r="H183" s="338"/>
      <c r="I183" s="337"/>
      <c r="J183" s="668"/>
      <c r="K183" s="353"/>
      <c r="L183" s="337"/>
      <c r="M183" s="337"/>
      <c r="N183" s="340"/>
      <c r="O183" s="339"/>
      <c r="P183" s="337"/>
      <c r="Q183" s="349"/>
      <c r="R183" s="340"/>
      <c r="S183" s="337"/>
      <c r="T183" s="337"/>
      <c r="U183" s="350"/>
      <c r="V183" s="350"/>
      <c r="W183" s="337"/>
      <c r="X183" s="337"/>
      <c r="Y183" s="337"/>
      <c r="Z183" s="380"/>
      <c r="AA183" s="343">
        <f>ROUND(E183+G183+I183+J183+K183+L183+M183+N183+O183+R183+S183+T183+U183+W183+X183++Y183,2)</f>
        <v>0</v>
      </c>
      <c r="AB183" s="344">
        <f>AA183*B183</f>
        <v>0</v>
      </c>
    </row>
    <row r="184" spans="1:28" ht="15" customHeight="1" thickTop="1">
      <c r="A184" s="133"/>
      <c r="B184" s="215"/>
      <c r="C184" s="77" t="s">
        <v>72</v>
      </c>
      <c r="D184" s="295"/>
      <c r="E184" s="105"/>
      <c r="F184" s="112"/>
      <c r="G184" s="105"/>
      <c r="H184" s="112"/>
      <c r="I184" s="105"/>
      <c r="J184" s="669"/>
      <c r="K184" s="271"/>
      <c r="L184" s="184">
        <f>L185/B124*1000</f>
        <v>150</v>
      </c>
      <c r="M184" s="105"/>
      <c r="N184" s="105"/>
      <c r="O184" s="105"/>
      <c r="P184" s="105"/>
      <c r="Q184" s="112"/>
      <c r="R184" s="105"/>
      <c r="S184" s="127"/>
      <c r="T184" s="105"/>
      <c r="U184" s="612"/>
      <c r="V184" s="143"/>
      <c r="W184" s="127"/>
      <c r="X184" s="127"/>
      <c r="Y184" s="105"/>
      <c r="Z184" s="101"/>
      <c r="AA184" s="125"/>
      <c r="AB184" s="123"/>
    </row>
    <row r="185" spans="1:28" ht="16.5" thickBot="1">
      <c r="A185" s="346" t="str">
        <f>A86</f>
        <v>Сок фр.</v>
      </c>
      <c r="B185" s="347">
        <v>54.9</v>
      </c>
      <c r="C185" s="348" t="s">
        <v>73</v>
      </c>
      <c r="D185" s="348"/>
      <c r="E185" s="337"/>
      <c r="F185" s="338"/>
      <c r="G185" s="337"/>
      <c r="H185" s="338"/>
      <c r="I185" s="337"/>
      <c r="J185" s="668"/>
      <c r="K185" s="353"/>
      <c r="L185" s="590">
        <v>15</v>
      </c>
      <c r="M185" s="337"/>
      <c r="N185" s="337"/>
      <c r="O185" s="337"/>
      <c r="P185" s="337"/>
      <c r="Q185" s="338"/>
      <c r="R185" s="337"/>
      <c r="S185" s="357"/>
      <c r="T185" s="337"/>
      <c r="U185" s="358"/>
      <c r="V185" s="381"/>
      <c r="W185" s="355"/>
      <c r="X185" s="355"/>
      <c r="Y185" s="337"/>
      <c r="Z185" s="380"/>
      <c r="AA185" s="356">
        <f>ROUND(E185+G185+I185+J185+K185+L185+M185+N185+O185+R185+S185+T185+U185+W185+X185++Y185,3)</f>
        <v>15</v>
      </c>
      <c r="AB185" s="344">
        <f>AA185*B185</f>
        <v>823.5</v>
      </c>
    </row>
    <row r="186" spans="1:28" ht="15" customHeight="1" thickTop="1">
      <c r="A186" s="133"/>
      <c r="B186" s="213"/>
      <c r="C186" s="427" t="s">
        <v>72</v>
      </c>
      <c r="D186" s="295"/>
      <c r="E186" s="106"/>
      <c r="F186" s="112"/>
      <c r="G186" s="106"/>
      <c r="H186" s="112"/>
      <c r="I186" s="106"/>
      <c r="J186" s="669"/>
      <c r="K186" s="268"/>
      <c r="L186" s="106"/>
      <c r="M186" s="127"/>
      <c r="N186" s="106"/>
      <c r="O186" s="106"/>
      <c r="P186" s="106"/>
      <c r="Q186" s="112"/>
      <c r="R186" s="106"/>
      <c r="S186" s="106"/>
      <c r="T186" s="106"/>
      <c r="U186" s="250"/>
      <c r="V186" s="113"/>
      <c r="W186" s="113"/>
      <c r="X186" s="106"/>
      <c r="Y186" s="106"/>
      <c r="Z186" s="101"/>
      <c r="AA186" s="125"/>
      <c r="AB186" s="123"/>
    </row>
    <row r="187" spans="1:28" ht="16.5" thickBot="1">
      <c r="A187" s="346">
        <f>A88</f>
        <v>0</v>
      </c>
      <c r="B187" s="347">
        <f>B88</f>
        <v>0</v>
      </c>
      <c r="C187" s="348" t="s">
        <v>73</v>
      </c>
      <c r="D187" s="348"/>
      <c r="E187" s="337"/>
      <c r="F187" s="338"/>
      <c r="G187" s="337"/>
      <c r="H187" s="338"/>
      <c r="I187" s="337"/>
      <c r="J187" s="668"/>
      <c r="K187" s="353"/>
      <c r="L187" s="337"/>
      <c r="M187" s="341"/>
      <c r="N187" s="337"/>
      <c r="O187" s="337"/>
      <c r="P187" s="337"/>
      <c r="Q187" s="338"/>
      <c r="R187" s="337"/>
      <c r="S187" s="337"/>
      <c r="T187" s="337"/>
      <c r="U187" s="340"/>
      <c r="V187" s="378"/>
      <c r="W187" s="367"/>
      <c r="X187" s="337"/>
      <c r="Y187" s="337"/>
      <c r="Z187" s="380"/>
      <c r="AA187" s="343">
        <f>ROUND(E187+G187+I187+J187+K187+L187+M187+N187+O187+R187+S187+T187+U187+W187+X187++Y187,2)</f>
        <v>0</v>
      </c>
      <c r="AB187" s="344">
        <f>AA187*B187</f>
        <v>0</v>
      </c>
    </row>
    <row r="188" spans="1:28" ht="15" customHeight="1" thickTop="1">
      <c r="A188" s="133"/>
      <c r="B188" s="213"/>
      <c r="C188" s="427" t="s">
        <v>72</v>
      </c>
      <c r="D188" s="295"/>
      <c r="E188" s="106"/>
      <c r="F188" s="112">
        <v>0.5</v>
      </c>
      <c r="G188" s="114">
        <f>F188/F125*G125</f>
        <v>0.5</v>
      </c>
      <c r="H188" s="112"/>
      <c r="I188" s="106"/>
      <c r="J188" s="669"/>
      <c r="K188" s="268"/>
      <c r="L188" s="106"/>
      <c r="M188" s="127"/>
      <c r="N188" s="106">
        <v>0.3</v>
      </c>
      <c r="O188" s="106">
        <v>1.3</v>
      </c>
      <c r="P188" s="106"/>
      <c r="Q188" s="112">
        <v>0.2</v>
      </c>
      <c r="R188" s="114">
        <f>Q188/Q125*R125</f>
        <v>0.2</v>
      </c>
      <c r="S188" s="106"/>
      <c r="T188" s="106"/>
      <c r="U188" s="972"/>
      <c r="V188" s="113">
        <v>0.2</v>
      </c>
      <c r="W188" s="113">
        <f>V188/V125*W125</f>
        <v>0.2</v>
      </c>
      <c r="X188" s="106"/>
      <c r="Y188" s="106"/>
      <c r="Z188" s="101"/>
      <c r="AA188" s="125"/>
      <c r="AB188" s="123"/>
    </row>
    <row r="189" spans="1:28" ht="16.5" thickBot="1">
      <c r="A189" s="346" t="str">
        <f>A90</f>
        <v>Соль иодиров.</v>
      </c>
      <c r="B189" s="347">
        <f>B90</f>
        <v>28</v>
      </c>
      <c r="C189" s="348" t="s">
        <v>73</v>
      </c>
      <c r="D189" s="348"/>
      <c r="E189" s="337"/>
      <c r="F189" s="349">
        <f>F188*F124/1000</f>
        <v>0.05</v>
      </c>
      <c r="G189" s="339">
        <f>ROUND(F189,2)</f>
        <v>0.05</v>
      </c>
      <c r="H189" s="349"/>
      <c r="I189" s="381"/>
      <c r="J189" s="569"/>
      <c r="K189" s="553"/>
      <c r="L189" s="381"/>
      <c r="M189" s="341">
        <f>M188*B124/1000</f>
        <v>0</v>
      </c>
      <c r="N189" s="339">
        <f>N188*B124/1000</f>
        <v>0.03</v>
      </c>
      <c r="O189" s="339">
        <f>O188*B124/1000</f>
        <v>0.13</v>
      </c>
      <c r="P189" s="381"/>
      <c r="Q189" s="349">
        <f>Q188*Q124/1000</f>
        <v>0.02</v>
      </c>
      <c r="R189" s="339">
        <f>ROUND(Q189,2)</f>
        <v>0.02</v>
      </c>
      <c r="S189" s="337"/>
      <c r="T189" s="337"/>
      <c r="U189" s="420"/>
      <c r="V189" s="378">
        <f>V188*F124/1000</f>
        <v>0.02</v>
      </c>
      <c r="W189" s="341">
        <f>ROUND(V189,2)</f>
        <v>0.02</v>
      </c>
      <c r="X189" s="337"/>
      <c r="Y189" s="337"/>
      <c r="Z189" s="380"/>
      <c r="AA189" s="343">
        <f>ROUND(E189+G189+I189+J189+K189+L189+M189+N189+O189+R189+S189+T189+U189+W189+X189++Y189,2)</f>
        <v>0.25</v>
      </c>
      <c r="AB189" s="344">
        <f>AA189*B189</f>
        <v>7</v>
      </c>
    </row>
    <row r="190" spans="1:28" ht="15.75" thickTop="1">
      <c r="A190" s="133"/>
      <c r="B190" s="122"/>
      <c r="C190" s="77" t="s">
        <v>72</v>
      </c>
      <c r="D190" s="295"/>
      <c r="E190" s="106"/>
      <c r="F190" s="112"/>
      <c r="G190" s="106"/>
      <c r="H190" s="112"/>
      <c r="I190" s="106"/>
      <c r="J190" s="669"/>
      <c r="K190" s="268"/>
      <c r="L190" s="184"/>
      <c r="M190" s="106"/>
      <c r="N190" s="106"/>
      <c r="O190" s="127"/>
      <c r="P190" s="106"/>
      <c r="Q190" s="112"/>
      <c r="R190" s="113"/>
      <c r="S190" s="106"/>
      <c r="T190" s="106"/>
      <c r="U190" s="127"/>
      <c r="V190" s="113"/>
      <c r="W190" s="129"/>
      <c r="X190" s="106"/>
      <c r="Y190" s="106"/>
      <c r="Z190" s="101"/>
      <c r="AA190" s="125"/>
      <c r="AB190" s="123"/>
    </row>
    <row r="191" spans="1:28" ht="16.5" thickBot="1">
      <c r="A191" s="346">
        <f>A92</f>
        <v>0</v>
      </c>
      <c r="B191" s="347"/>
      <c r="C191" s="348" t="s">
        <v>73</v>
      </c>
      <c r="D191" s="348"/>
      <c r="E191" s="337"/>
      <c r="F191" s="338"/>
      <c r="G191" s="337"/>
      <c r="H191" s="338"/>
      <c r="I191" s="337"/>
      <c r="J191" s="668"/>
      <c r="K191" s="353"/>
      <c r="L191" s="590"/>
      <c r="M191" s="337"/>
      <c r="N191" s="337"/>
      <c r="O191" s="340"/>
      <c r="P191" s="358"/>
      <c r="Q191" s="349"/>
      <c r="R191" s="340"/>
      <c r="S191" s="337"/>
      <c r="T191" s="337"/>
      <c r="U191" s="350"/>
      <c r="V191" s="378"/>
      <c r="W191" s="341"/>
      <c r="X191" s="337"/>
      <c r="Y191" s="337"/>
      <c r="Z191" s="380"/>
      <c r="AA191" s="343">
        <f>ROUND(E191+G191+I191+J191+K191+L191+M191+N191+O191+R191+S191+T191+U191+W191+X191++Y191,2)</f>
        <v>0</v>
      </c>
      <c r="AB191" s="344">
        <f>AA191*B191</f>
        <v>0</v>
      </c>
    </row>
    <row r="192" spans="1:28" ht="15.75" thickTop="1">
      <c r="A192" s="133"/>
      <c r="B192" s="122"/>
      <c r="C192" s="77" t="s">
        <v>72</v>
      </c>
      <c r="D192" s="295"/>
      <c r="E192" s="106"/>
      <c r="F192" s="112"/>
      <c r="G192" s="113"/>
      <c r="H192" s="112"/>
      <c r="I192" s="106"/>
      <c r="J192" s="669"/>
      <c r="K192" s="268"/>
      <c r="L192" s="106"/>
      <c r="M192" s="106"/>
      <c r="N192" s="106"/>
      <c r="O192" s="106"/>
      <c r="P192" s="106"/>
      <c r="Q192" s="112"/>
      <c r="R192" s="106"/>
      <c r="S192" s="106"/>
      <c r="T192" s="106"/>
      <c r="U192" s="106"/>
      <c r="V192" s="114"/>
      <c r="W192" s="128"/>
      <c r="X192" s="131"/>
      <c r="Y192" s="106"/>
      <c r="Z192" s="101"/>
      <c r="AA192" s="125"/>
      <c r="AB192" s="123"/>
    </row>
    <row r="193" spans="1:28" ht="16.5" thickBot="1">
      <c r="A193" s="346">
        <f>A94</f>
        <v>0</v>
      </c>
      <c r="B193" s="347">
        <f>B94</f>
        <v>0</v>
      </c>
      <c r="C193" s="348" t="s">
        <v>73</v>
      </c>
      <c r="D193" s="348"/>
      <c r="E193" s="337"/>
      <c r="F193" s="363"/>
      <c r="G193" s="340"/>
      <c r="H193" s="338"/>
      <c r="I193" s="337"/>
      <c r="J193" s="668"/>
      <c r="K193" s="353"/>
      <c r="L193" s="337"/>
      <c r="M193" s="337"/>
      <c r="N193" s="337"/>
      <c r="O193" s="337"/>
      <c r="P193" s="337"/>
      <c r="Q193" s="338"/>
      <c r="R193" s="337"/>
      <c r="S193" s="337"/>
      <c r="T193" s="337"/>
      <c r="U193" s="337"/>
      <c r="V193" s="381"/>
      <c r="W193" s="340"/>
      <c r="X193" s="341"/>
      <c r="Y193" s="337"/>
      <c r="Z193" s="380"/>
      <c r="AA193" s="343">
        <f>ROUND(E193+G193+I193+J193+K193+L193+M193+N193+O193+R193+S193+T193+U193+W193+X193++Y193,2)</f>
        <v>0</v>
      </c>
      <c r="AB193" s="344">
        <f>AA193*B193</f>
        <v>0</v>
      </c>
    </row>
    <row r="194" spans="1:28" ht="15.75">
      <c r="A194" s="136"/>
      <c r="B194" s="6"/>
      <c r="C194" s="75"/>
      <c r="D194" s="75"/>
      <c r="E194" s="105"/>
      <c r="F194" s="112"/>
      <c r="G194" s="105"/>
      <c r="H194" s="112"/>
      <c r="I194" s="105"/>
      <c r="J194" s="112"/>
      <c r="K194" s="105"/>
      <c r="L194" s="105"/>
      <c r="M194" s="105"/>
      <c r="N194" s="105"/>
      <c r="O194" s="105"/>
      <c r="P194" s="105"/>
      <c r="Q194" s="112"/>
      <c r="R194" s="105"/>
      <c r="S194" s="105"/>
      <c r="T194" s="105"/>
      <c r="U194" s="105"/>
      <c r="V194" s="143"/>
      <c r="W194" s="105"/>
      <c r="X194" s="105"/>
      <c r="Y194" s="105"/>
      <c r="Z194" s="101"/>
      <c r="AA194" s="125"/>
      <c r="AB194" s="126">
        <f>AB127+AB129+AB131+AB133+AB135+AB137+AB139+AB141+AB143+AB145+AB147+AB149+AB151+AB161+AB163+AB165+AB167+AB169+AB171+AB173+AB175+AB177+AB179+AB181+AB183+AB185+AB187+AB189+AB191+AB193</f>
        <v>10426.239099999999</v>
      </c>
    </row>
    <row r="196" spans="1:28">
      <c r="A196" s="43" t="s">
        <v>311</v>
      </c>
      <c r="S196" s="43" t="s">
        <v>30</v>
      </c>
      <c r="AB196" s="118">
        <f>K112</f>
        <v>11000</v>
      </c>
    </row>
    <row r="197" spans="1:28">
      <c r="A197" s="43" t="s">
        <v>50</v>
      </c>
      <c r="S197" s="43" t="s">
        <v>31</v>
      </c>
    </row>
    <row r="198" spans="1:28">
      <c r="A198" s="43" t="s">
        <v>320</v>
      </c>
      <c r="S198" s="43" t="s">
        <v>330</v>
      </c>
    </row>
    <row r="199" spans="1:28">
      <c r="A199" s="43" t="s">
        <v>37</v>
      </c>
      <c r="S199" s="43" t="s">
        <v>31</v>
      </c>
    </row>
    <row r="202" spans="1:28">
      <c r="X202" t="s">
        <v>91</v>
      </c>
    </row>
  </sheetData>
  <mergeCells count="165">
    <mergeCell ref="F120:G122"/>
    <mergeCell ref="D21:D23"/>
    <mergeCell ref="D120:D122"/>
    <mergeCell ref="D156:D158"/>
    <mergeCell ref="Z120:Z122"/>
    <mergeCell ref="Z57:Z59"/>
    <mergeCell ref="Z21:Z23"/>
    <mergeCell ref="D57:D59"/>
    <mergeCell ref="S156:S158"/>
    <mergeCell ref="T156:T158"/>
    <mergeCell ref="U156:U158"/>
    <mergeCell ref="X156:X158"/>
    <mergeCell ref="Y156:Y158"/>
    <mergeCell ref="Z156:Z158"/>
    <mergeCell ref="X120:X122"/>
    <mergeCell ref="Y120:Y122"/>
    <mergeCell ref="Q120:R122"/>
    <mergeCell ref="S120:S122"/>
    <mergeCell ref="T120:T122"/>
    <mergeCell ref="U120:U122"/>
    <mergeCell ref="E120:E122"/>
    <mergeCell ref="H120:I122"/>
    <mergeCell ref="L120:L122"/>
    <mergeCell ref="N120:N122"/>
    <mergeCell ref="O120:O122"/>
    <mergeCell ref="J120:J122"/>
    <mergeCell ref="K120:K122"/>
    <mergeCell ref="V120:W122"/>
    <mergeCell ref="D118:K119"/>
    <mergeCell ref="AA153:AB153"/>
    <mergeCell ref="E156:E158"/>
    <mergeCell ref="F156:G158"/>
    <mergeCell ref="H156:I158"/>
    <mergeCell ref="L156:L158"/>
    <mergeCell ref="N156:N158"/>
    <mergeCell ref="P156:P158"/>
    <mergeCell ref="Q156:R158"/>
    <mergeCell ref="O156:O158"/>
    <mergeCell ref="M156:M158"/>
    <mergeCell ref="J156:J158"/>
    <mergeCell ref="K156:K158"/>
    <mergeCell ref="V156:W158"/>
    <mergeCell ref="P120:P122"/>
    <mergeCell ref="E154:K155"/>
    <mergeCell ref="N154:T155"/>
    <mergeCell ref="U154:Z155"/>
    <mergeCell ref="AA154:AB154"/>
    <mergeCell ref="AA155:AB155"/>
    <mergeCell ref="Q110:R110"/>
    <mergeCell ref="AA117:AB117"/>
    <mergeCell ref="N118:T119"/>
    <mergeCell ref="U118:Z119"/>
    <mergeCell ref="AA118:AB118"/>
    <mergeCell ref="AA119:AB119"/>
    <mergeCell ref="O114:R114"/>
    <mergeCell ref="B108:C108"/>
    <mergeCell ref="E108:G108"/>
    <mergeCell ref="H108:J108"/>
    <mergeCell ref="K108:N108"/>
    <mergeCell ref="Q108:R108"/>
    <mergeCell ref="B109:C109"/>
    <mergeCell ref="K109:N109"/>
    <mergeCell ref="O112:P112"/>
    <mergeCell ref="K112:N112"/>
    <mergeCell ref="S110:Y111"/>
    <mergeCell ref="Q106:R106"/>
    <mergeCell ref="AA106:AB106"/>
    <mergeCell ref="AA105:AB105"/>
    <mergeCell ref="S106:X107"/>
    <mergeCell ref="Y106:Z106"/>
    <mergeCell ref="B107:C107"/>
    <mergeCell ref="E107:G107"/>
    <mergeCell ref="H107:J107"/>
    <mergeCell ref="K107:N107"/>
    <mergeCell ref="O107:P107"/>
    <mergeCell ref="Q107:R107"/>
    <mergeCell ref="A105:C105"/>
    <mergeCell ref="E105:G105"/>
    <mergeCell ref="H105:J105"/>
    <mergeCell ref="K105:N105"/>
    <mergeCell ref="A106:C106"/>
    <mergeCell ref="E106:G106"/>
    <mergeCell ref="H106:J106"/>
    <mergeCell ref="K106:N106"/>
    <mergeCell ref="O106:P106"/>
    <mergeCell ref="T21:T23"/>
    <mergeCell ref="U21:U23"/>
    <mergeCell ref="V21:W23"/>
    <mergeCell ref="P102:AB102"/>
    <mergeCell ref="P57:P59"/>
    <mergeCell ref="Q57:R59"/>
    <mergeCell ref="S57:S59"/>
    <mergeCell ref="T57:T59"/>
    <mergeCell ref="U57:U59"/>
    <mergeCell ref="E57:E59"/>
    <mergeCell ref="F57:G59"/>
    <mergeCell ref="H57:I59"/>
    <mergeCell ref="L57:L59"/>
    <mergeCell ref="N57:N59"/>
    <mergeCell ref="F21:G23"/>
    <mergeCell ref="AA54:AB54"/>
    <mergeCell ref="N55:T56"/>
    <mergeCell ref="U55:Z56"/>
    <mergeCell ref="AA55:AB55"/>
    <mergeCell ref="AA56:AB56"/>
    <mergeCell ref="O57:O59"/>
    <mergeCell ref="V57:V59"/>
    <mergeCell ref="M57:M59"/>
    <mergeCell ref="J57:J59"/>
    <mergeCell ref="K57:K59"/>
    <mergeCell ref="D55:K56"/>
    <mergeCell ref="X21:X23"/>
    <mergeCell ref="Y21:Y23"/>
    <mergeCell ref="Q21:R23"/>
    <mergeCell ref="S21:S23"/>
    <mergeCell ref="W57:W59"/>
    <mergeCell ref="X57:X59"/>
    <mergeCell ref="Y57:Y59"/>
    <mergeCell ref="AA18:AB18"/>
    <mergeCell ref="E19:K20"/>
    <mergeCell ref="N19:T20"/>
    <mergeCell ref="U19:Z20"/>
    <mergeCell ref="AA19:AB19"/>
    <mergeCell ref="AA20:AB20"/>
    <mergeCell ref="S7:X8"/>
    <mergeCell ref="Y7:Z7"/>
    <mergeCell ref="S11:Y12"/>
    <mergeCell ref="AA7:AB7"/>
    <mergeCell ref="E8:G8"/>
    <mergeCell ref="H8:J8"/>
    <mergeCell ref="K8:N8"/>
    <mergeCell ref="O8:P8"/>
    <mergeCell ref="Q8:R8"/>
    <mergeCell ref="E7:G7"/>
    <mergeCell ref="H7:J7"/>
    <mergeCell ref="K7:N7"/>
    <mergeCell ref="O7:P7"/>
    <mergeCell ref="Q7:R7"/>
    <mergeCell ref="O13:P13"/>
    <mergeCell ref="P3:AB3"/>
    <mergeCell ref="A6:C6"/>
    <mergeCell ref="E6:G6"/>
    <mergeCell ref="H6:J6"/>
    <mergeCell ref="K6:N6"/>
    <mergeCell ref="AA6:AB6"/>
    <mergeCell ref="B9:C9"/>
    <mergeCell ref="E9:G9"/>
    <mergeCell ref="H9:J9"/>
    <mergeCell ref="K9:N9"/>
    <mergeCell ref="Q9:R9"/>
    <mergeCell ref="B8:C8"/>
    <mergeCell ref="A7:C7"/>
    <mergeCell ref="B10:C10"/>
    <mergeCell ref="K10:N10"/>
    <mergeCell ref="O15:R15"/>
    <mergeCell ref="E21:E23"/>
    <mergeCell ref="H21:I23"/>
    <mergeCell ref="L21:L23"/>
    <mergeCell ref="N21:N23"/>
    <mergeCell ref="Q11:R11"/>
    <mergeCell ref="K13:N13"/>
    <mergeCell ref="O21:O23"/>
    <mergeCell ref="P21:P23"/>
    <mergeCell ref="J21:J23"/>
    <mergeCell ref="K21:K23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91"/>
  <sheetViews>
    <sheetView showGridLines="0" topLeftCell="A171" zoomScale="95" zoomScaleNormal="95" workbookViewId="0">
      <selection activeCell="M172" sqref="M172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5.28515625" customWidth="1"/>
    <col min="5" max="5" width="8" customWidth="1"/>
    <col min="6" max="6" width="5.140625" customWidth="1"/>
    <col min="7" max="7" width="8" customWidth="1"/>
    <col min="8" max="8" width="5.5703125" customWidth="1"/>
    <col min="9" max="9" width="7.7109375" customWidth="1"/>
    <col min="10" max="10" width="4.7109375" customWidth="1"/>
    <col min="11" max="11" width="6" customWidth="1"/>
    <col min="12" max="12" width="6.5703125" customWidth="1"/>
    <col min="13" max="13" width="6.85546875" customWidth="1"/>
    <col min="14" max="14" width="8" customWidth="1"/>
    <col min="15" max="15" width="7.5703125" customWidth="1"/>
    <col min="16" max="16" width="5.42578125" customWidth="1"/>
    <col min="17" max="17" width="8" customWidth="1"/>
    <col min="18" max="18" width="5.5703125" customWidth="1"/>
    <col min="19" max="19" width="7.140625" customWidth="1"/>
    <col min="20" max="20" width="6.85546875" customWidth="1"/>
    <col min="21" max="21" width="7" customWidth="1"/>
    <col min="22" max="22" width="6.140625" customWidth="1"/>
    <col min="23" max="23" width="7.85546875" customWidth="1"/>
    <col min="24" max="24" width="7.42578125" customWidth="1"/>
    <col min="25" max="25" width="6.140625" customWidth="1"/>
    <col min="26" max="26" width="8.140625" customWidth="1"/>
    <col min="27" max="27" width="10.85546875" customWidth="1"/>
    <col min="28" max="28" width="4.7109375" customWidth="1"/>
  </cols>
  <sheetData>
    <row r="1" spans="1:33" ht="12.75" hidden="1" customHeight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7"/>
      <c r="W1" s="10"/>
      <c r="X1" s="10"/>
      <c r="Y1" s="10"/>
      <c r="Z1" s="11"/>
      <c r="AA1" s="11"/>
      <c r="AB1" s="7"/>
      <c r="AC1" s="7"/>
      <c r="AD1" s="7"/>
      <c r="AE1" s="7"/>
      <c r="AF1" s="7"/>
      <c r="AG1" s="7"/>
    </row>
    <row r="2" spans="1:33" ht="15" customHeight="1">
      <c r="A2" s="3" t="s">
        <v>321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7"/>
      <c r="W2" s="10"/>
      <c r="X2" s="10"/>
      <c r="Y2" s="10"/>
      <c r="Z2" s="11"/>
      <c r="AA2" s="11"/>
      <c r="AB2" s="7"/>
      <c r="AC2" s="7"/>
      <c r="AD2" s="7"/>
      <c r="AE2" s="7"/>
      <c r="AF2" s="7"/>
      <c r="AG2" s="7"/>
    </row>
    <row r="3" spans="1:33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1060" t="s">
        <v>80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15"/>
      <c r="AC3" s="115"/>
      <c r="AD3" s="7"/>
      <c r="AE3" s="7"/>
      <c r="AF3" s="7"/>
      <c r="AG3" s="7"/>
    </row>
    <row r="4" spans="1:33" ht="15.75" customHeight="1">
      <c r="A4" s="819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AB4" s="7"/>
      <c r="AC4" s="7"/>
      <c r="AD4" s="7"/>
      <c r="AE4" s="7"/>
      <c r="AF4" s="7"/>
      <c r="AG4" s="7"/>
    </row>
    <row r="5" spans="1:33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2"/>
      <c r="Q5" s="2"/>
      <c r="R5" s="2"/>
      <c r="S5" s="2"/>
      <c r="T5" s="1"/>
      <c r="U5" s="7"/>
      <c r="V5" s="7"/>
      <c r="W5" s="7"/>
      <c r="X5" s="7"/>
      <c r="Y5" s="7"/>
      <c r="AB5" s="7"/>
      <c r="AC5" s="7"/>
      <c r="AD5" s="7"/>
      <c r="AE5" s="7"/>
      <c r="AF5" s="7"/>
      <c r="AG5" s="7"/>
    </row>
    <row r="6" spans="1:33" ht="15.75" customHeight="1" thickBot="1">
      <c r="A6" s="1048" t="s">
        <v>42</v>
      </c>
      <c r="B6" s="1048"/>
      <c r="C6" s="1048"/>
      <c r="D6" s="788"/>
      <c r="E6" s="1047" t="s">
        <v>35</v>
      </c>
      <c r="F6" s="1048"/>
      <c r="G6" s="1049"/>
      <c r="H6" s="1047" t="s">
        <v>60</v>
      </c>
      <c r="I6" s="1048"/>
      <c r="J6" s="1049"/>
      <c r="K6" s="1047" t="s">
        <v>58</v>
      </c>
      <c r="L6" s="1048"/>
      <c r="M6" s="1048"/>
      <c r="N6" s="31"/>
      <c r="O6" s="21"/>
      <c r="P6" s="31"/>
      <c r="Q6" s="29"/>
      <c r="R6" s="3"/>
      <c r="S6" s="3"/>
      <c r="T6" s="7"/>
      <c r="U6" s="7"/>
      <c r="V6" s="7"/>
      <c r="W6" s="7"/>
      <c r="X6" s="7"/>
      <c r="Y6" s="7"/>
      <c r="Z6" s="7"/>
      <c r="AA6" s="1088" t="s">
        <v>0</v>
      </c>
      <c r="AB6" s="1089"/>
      <c r="AC6" s="7"/>
      <c r="AD6" s="7"/>
      <c r="AE6" s="7"/>
      <c r="AF6" s="7"/>
      <c r="AG6" s="7"/>
    </row>
    <row r="7" spans="1:33" ht="11.25" customHeight="1">
      <c r="A7" s="1059" t="s">
        <v>43</v>
      </c>
      <c r="B7" s="1059"/>
      <c r="C7" s="1059"/>
      <c r="D7" s="798"/>
      <c r="E7" s="1065" t="s">
        <v>34</v>
      </c>
      <c r="F7" s="1066"/>
      <c r="G7" s="1067"/>
      <c r="H7" s="1065" t="s">
        <v>12</v>
      </c>
      <c r="I7" s="1066"/>
      <c r="J7" s="1067"/>
      <c r="K7" s="1065" t="s">
        <v>15</v>
      </c>
      <c r="L7" s="1066"/>
      <c r="M7" s="1066"/>
      <c r="N7" s="1065" t="s">
        <v>14</v>
      </c>
      <c r="O7" s="1067"/>
      <c r="P7" s="1065" t="s">
        <v>55</v>
      </c>
      <c r="Q7" s="1066"/>
      <c r="R7" s="863"/>
      <c r="S7" s="1224" t="s">
        <v>223</v>
      </c>
      <c r="T7" s="1093"/>
      <c r="U7" s="1093"/>
      <c r="V7" s="1093"/>
      <c r="W7" s="1093"/>
      <c r="X7" s="1093"/>
      <c r="Y7" s="1050" t="s">
        <v>190</v>
      </c>
      <c r="Z7" s="1156"/>
      <c r="AA7" s="1090" t="s">
        <v>23</v>
      </c>
      <c r="AB7" s="1091"/>
      <c r="AC7" s="7"/>
      <c r="AD7" s="7"/>
      <c r="AE7" s="7"/>
      <c r="AF7" s="7"/>
      <c r="AG7" s="7"/>
    </row>
    <row r="8" spans="1:33" ht="10.5" customHeight="1" thickBot="1">
      <c r="A8" s="800" t="s">
        <v>44</v>
      </c>
      <c r="B8" s="1047" t="s">
        <v>46</v>
      </c>
      <c r="C8" s="1048"/>
      <c r="D8" s="798"/>
      <c r="E8" s="1065" t="s">
        <v>39</v>
      </c>
      <c r="F8" s="1066"/>
      <c r="G8" s="1067"/>
      <c r="H8" s="1065" t="s">
        <v>49</v>
      </c>
      <c r="I8" s="1066"/>
      <c r="J8" s="1067"/>
      <c r="K8" s="1065" t="s">
        <v>59</v>
      </c>
      <c r="L8" s="1066"/>
      <c r="M8" s="1066"/>
      <c r="N8" s="1065" t="s">
        <v>40</v>
      </c>
      <c r="O8" s="1067"/>
      <c r="P8" s="1065" t="s">
        <v>56</v>
      </c>
      <c r="Q8" s="1066"/>
      <c r="R8" s="863"/>
      <c r="S8" s="1093"/>
      <c r="T8" s="1093"/>
      <c r="U8" s="1093"/>
      <c r="V8" s="1093"/>
      <c r="W8" s="1093"/>
      <c r="X8" s="1093"/>
      <c r="AA8" s="53"/>
      <c r="AB8" s="56"/>
      <c r="AC8" s="7"/>
      <c r="AD8" s="7"/>
      <c r="AE8" s="7"/>
      <c r="AF8" s="7"/>
      <c r="AG8" s="7"/>
    </row>
    <row r="9" spans="1:33" ht="15.75" customHeight="1" thickBot="1">
      <c r="A9" s="799" t="s">
        <v>45</v>
      </c>
      <c r="B9" s="1065" t="s">
        <v>47</v>
      </c>
      <c r="C9" s="1108"/>
      <c r="D9" s="801"/>
      <c r="E9" s="1065" t="s">
        <v>38</v>
      </c>
      <c r="F9" s="1066"/>
      <c r="G9" s="1067"/>
      <c r="H9" s="1065" t="s">
        <v>13</v>
      </c>
      <c r="I9" s="1066"/>
      <c r="J9" s="1067"/>
      <c r="K9" s="1065" t="s">
        <v>38</v>
      </c>
      <c r="L9" s="1066"/>
      <c r="M9" s="1066"/>
      <c r="N9" s="25"/>
      <c r="O9" s="3"/>
      <c r="P9" s="1065" t="s">
        <v>57</v>
      </c>
      <c r="Q9" s="1066"/>
      <c r="R9" s="863"/>
      <c r="S9" s="3" t="s">
        <v>194</v>
      </c>
      <c r="T9" s="548"/>
      <c r="U9" s="548"/>
      <c r="V9" s="120"/>
      <c r="W9" s="120"/>
      <c r="X9" s="120"/>
      <c r="Y9" s="120"/>
      <c r="Z9" s="746" t="s">
        <v>191</v>
      </c>
      <c r="AA9" s="701"/>
      <c r="AB9" s="708"/>
      <c r="AC9" s="120"/>
      <c r="AD9" s="7"/>
      <c r="AE9" s="7"/>
      <c r="AF9" s="7"/>
      <c r="AG9" s="7"/>
    </row>
    <row r="10" spans="1:33" ht="6.75" customHeight="1">
      <c r="A10" s="17"/>
      <c r="B10" s="1058" t="s">
        <v>48</v>
      </c>
      <c r="C10" s="1059"/>
      <c r="D10" s="798"/>
      <c r="E10" s="797"/>
      <c r="F10" s="3"/>
      <c r="G10" s="30"/>
      <c r="H10" s="3"/>
      <c r="I10" s="3"/>
      <c r="J10" s="30"/>
      <c r="K10" s="1058"/>
      <c r="L10" s="1059"/>
      <c r="M10" s="1059"/>
      <c r="N10" s="25"/>
      <c r="O10" s="3"/>
      <c r="P10" s="25"/>
      <c r="Q10" s="3"/>
      <c r="R10" s="3"/>
      <c r="T10" s="709" t="s">
        <v>96</v>
      </c>
      <c r="Z10" s="32"/>
      <c r="AA10" s="702"/>
      <c r="AB10" s="703"/>
    </row>
    <row r="11" spans="1:33" ht="11.25" customHeight="1" thickBot="1">
      <c r="A11" s="58">
        <v>1</v>
      </c>
      <c r="B11" s="62"/>
      <c r="C11" s="63">
        <v>2</v>
      </c>
      <c r="D11" s="292"/>
      <c r="E11" s="789"/>
      <c r="F11" s="789">
        <v>3</v>
      </c>
      <c r="G11" s="790"/>
      <c r="H11" s="789"/>
      <c r="I11" s="789">
        <v>4</v>
      </c>
      <c r="J11" s="790"/>
      <c r="K11" s="789"/>
      <c r="L11" s="789"/>
      <c r="M11" s="789"/>
      <c r="N11" s="792"/>
      <c r="O11" s="789"/>
      <c r="P11" s="1104">
        <v>7</v>
      </c>
      <c r="Q11" s="1221"/>
      <c r="R11" s="866"/>
      <c r="S11" s="1074" t="s">
        <v>307</v>
      </c>
      <c r="T11" s="1061"/>
      <c r="U11" s="1061"/>
      <c r="V11" s="1061"/>
      <c r="W11" s="1061"/>
      <c r="X11" s="1061"/>
      <c r="Y11" s="1061"/>
      <c r="Z11" s="699" t="s">
        <v>199</v>
      </c>
      <c r="AA11" s="705"/>
      <c r="AB11" s="704"/>
      <c r="AC11" s="7"/>
      <c r="AD11" s="7"/>
      <c r="AE11" s="7"/>
      <c r="AF11" s="7"/>
      <c r="AG11" s="7"/>
    </row>
    <row r="12" spans="1:33" ht="6" customHeight="1">
      <c r="A12" s="37"/>
      <c r="B12" s="38"/>
      <c r="C12" s="38"/>
      <c r="D12" s="38"/>
      <c r="E12" s="38"/>
      <c r="F12" s="38"/>
      <c r="G12" s="39"/>
      <c r="H12" s="38"/>
      <c r="I12" s="38"/>
      <c r="J12" s="39"/>
      <c r="K12" s="38"/>
      <c r="L12" s="38"/>
      <c r="M12" s="38"/>
      <c r="N12" s="40"/>
      <c r="O12" s="39"/>
      <c r="P12" s="41"/>
      <c r="Q12" s="42"/>
      <c r="R12" s="3"/>
      <c r="S12" s="1061"/>
      <c r="T12" s="1061"/>
      <c r="U12" s="1061"/>
      <c r="V12" s="1061"/>
      <c r="W12" s="1061"/>
      <c r="X12" s="1061"/>
      <c r="Y12" s="1061"/>
      <c r="Z12" s="56"/>
      <c r="AA12" s="32"/>
      <c r="AB12" s="610"/>
      <c r="AC12" s="7"/>
      <c r="AD12" s="7"/>
      <c r="AE12" s="7"/>
      <c r="AF12" s="7"/>
      <c r="AG12" s="7"/>
    </row>
    <row r="13" spans="1:33" ht="18" customHeight="1" thickBot="1">
      <c r="A13" s="139" t="s">
        <v>85</v>
      </c>
      <c r="B13" s="28"/>
      <c r="C13" s="28"/>
      <c r="D13" s="28"/>
      <c r="E13" s="28"/>
      <c r="F13" s="28"/>
      <c r="G13" s="218">
        <v>110</v>
      </c>
      <c r="H13" s="28"/>
      <c r="I13" s="140">
        <f>B25</f>
        <v>100</v>
      </c>
      <c r="J13" s="50"/>
      <c r="K13" s="1075">
        <f>G13*I13</f>
        <v>11000</v>
      </c>
      <c r="L13" s="1114"/>
      <c r="M13" s="1114"/>
      <c r="N13" s="51"/>
      <c r="O13" s="132">
        <f>AA91/B25</f>
        <v>113.41721700000002</v>
      </c>
      <c r="P13" s="14"/>
      <c r="Q13" s="52"/>
      <c r="R13" s="3"/>
      <c r="S13" s="3"/>
      <c r="T13" s="710" t="s">
        <v>308</v>
      </c>
      <c r="U13" s="2"/>
      <c r="V13" s="538"/>
      <c r="W13" s="7"/>
      <c r="X13" s="7"/>
      <c r="Y13" s="7"/>
      <c r="Z13" s="699"/>
      <c r="AA13" s="7"/>
      <c r="AB13" s="704"/>
      <c r="AC13" s="7"/>
      <c r="AD13" s="7"/>
      <c r="AE13" s="7"/>
      <c r="AF13" s="7"/>
      <c r="AG13" s="7"/>
    </row>
    <row r="14" spans="1:33" ht="6" customHeight="1">
      <c r="A14" s="820"/>
      <c r="B14" s="51"/>
      <c r="C14" s="28"/>
      <c r="D14" s="28"/>
      <c r="E14" s="28"/>
      <c r="F14" s="28"/>
      <c r="G14" s="50"/>
      <c r="H14" s="28"/>
      <c r="I14" s="28"/>
      <c r="J14" s="50"/>
      <c r="K14" s="28"/>
      <c r="L14" s="28"/>
      <c r="M14" s="28"/>
      <c r="N14" s="51"/>
      <c r="O14" s="27"/>
      <c r="P14" s="14"/>
      <c r="Q14" s="52"/>
      <c r="R14" s="3"/>
      <c r="S14" s="3"/>
      <c r="T14" s="7"/>
      <c r="U14" s="7"/>
      <c r="Y14" s="32"/>
      <c r="Z14" s="56"/>
      <c r="AA14" s="41"/>
      <c r="AB14" s="707"/>
      <c r="AC14" s="7"/>
      <c r="AD14" s="7"/>
      <c r="AE14" s="7"/>
      <c r="AF14" s="7"/>
      <c r="AG14" s="7"/>
    </row>
    <row r="15" spans="1:33" ht="17.25" customHeight="1" thickBot="1">
      <c r="A15" s="821"/>
      <c r="B15" s="822"/>
      <c r="C15" s="823"/>
      <c r="D15" s="823"/>
      <c r="E15" s="823"/>
      <c r="F15" s="823"/>
      <c r="G15" s="824"/>
      <c r="H15" s="823"/>
      <c r="I15" s="823"/>
      <c r="J15" s="824"/>
      <c r="K15" s="3"/>
      <c r="L15" s="3"/>
      <c r="M15" s="3"/>
      <c r="N15" s="1222">
        <f>O13*B25</f>
        <v>11341.721700000002</v>
      </c>
      <c r="O15" s="1069"/>
      <c r="P15" s="32"/>
      <c r="Q15" s="15"/>
      <c r="R15" s="3"/>
      <c r="S15" s="3" t="s">
        <v>193</v>
      </c>
      <c r="T15" s="7"/>
      <c r="U15" s="7"/>
      <c r="V15" s="549"/>
      <c r="W15" s="711" t="s">
        <v>309</v>
      </c>
      <c r="Z15" s="56"/>
      <c r="AA15" s="66"/>
      <c r="AB15" s="704"/>
      <c r="AC15" s="7"/>
      <c r="AD15" s="7"/>
      <c r="AE15" s="7"/>
      <c r="AF15" s="7"/>
      <c r="AG15" s="7"/>
    </row>
    <row r="16" spans="1:33" ht="14.25" customHeight="1" thickBot="1">
      <c r="A16" s="3"/>
      <c r="B16" s="3"/>
      <c r="C16" s="3"/>
      <c r="D16" s="3"/>
      <c r="E16" s="3"/>
      <c r="F16" s="3"/>
      <c r="G16" s="3"/>
      <c r="H16" s="3"/>
      <c r="I16" s="3" t="s">
        <v>33</v>
      </c>
      <c r="J16" s="3"/>
      <c r="K16" s="44"/>
      <c r="L16" s="45"/>
      <c r="M16" s="45"/>
      <c r="N16" s="48"/>
      <c r="O16" s="49"/>
      <c r="P16" s="46"/>
      <c r="Q16" s="47"/>
      <c r="R16" s="3"/>
      <c r="S16" s="3"/>
      <c r="T16" s="7"/>
      <c r="AB16" s="7"/>
      <c r="AC16" s="7"/>
      <c r="AD16" s="7"/>
      <c r="AE16" s="7"/>
      <c r="AF16" s="7"/>
      <c r="AG16" s="7"/>
    </row>
    <row r="17" spans="1:33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7"/>
      <c r="V17" s="7"/>
      <c r="W17" s="7"/>
      <c r="X17" s="7"/>
      <c r="Y17" s="7"/>
      <c r="Z17" s="8"/>
      <c r="AA17" s="8"/>
      <c r="AB17" s="7"/>
      <c r="AC17" s="7"/>
      <c r="AD17" s="7"/>
      <c r="AE17" s="7"/>
      <c r="AF17" s="7"/>
      <c r="AG17" s="7"/>
    </row>
    <row r="18" spans="1:33" ht="12" customHeight="1">
      <c r="A18" s="26" t="s">
        <v>53</v>
      </c>
      <c r="B18" s="20"/>
      <c r="C18" s="65"/>
      <c r="D18" s="488"/>
      <c r="E18" s="14"/>
      <c r="F18" s="14"/>
      <c r="G18" s="14"/>
      <c r="H18" s="14"/>
      <c r="I18" s="14"/>
      <c r="J18" s="14"/>
      <c r="K18" s="14"/>
      <c r="L18" s="14"/>
      <c r="M18" s="14"/>
      <c r="N18" s="28" t="s">
        <v>41</v>
      </c>
      <c r="O18" s="14"/>
      <c r="P18" s="14"/>
      <c r="Q18" s="14"/>
      <c r="R18" s="14"/>
      <c r="S18" s="28"/>
      <c r="T18" s="28"/>
      <c r="U18" s="14"/>
      <c r="V18" s="14"/>
      <c r="W18" s="14"/>
      <c r="X18" s="14"/>
      <c r="Y18" s="14"/>
      <c r="Z18" s="1047" t="s">
        <v>8</v>
      </c>
      <c r="AA18" s="1048"/>
      <c r="AB18" s="7"/>
      <c r="AC18" s="7"/>
      <c r="AD18" s="7"/>
      <c r="AE18" s="8"/>
      <c r="AF18" s="7"/>
      <c r="AG18" s="7"/>
    </row>
    <row r="19" spans="1:33" ht="12" customHeight="1">
      <c r="A19" s="800"/>
      <c r="B19" s="19"/>
      <c r="C19" s="859" t="s">
        <v>52</v>
      </c>
      <c r="D19" s="885"/>
      <c r="E19" s="1052" t="s">
        <v>108</v>
      </c>
      <c r="F19" s="1084"/>
      <c r="G19" s="1084"/>
      <c r="H19" s="1084"/>
      <c r="I19" s="1084"/>
      <c r="J19" s="1084"/>
      <c r="K19" s="1223"/>
      <c r="L19" s="869"/>
      <c r="M19" s="837" t="s">
        <v>69</v>
      </c>
      <c r="N19" s="1139"/>
      <c r="O19" s="1052"/>
      <c r="P19" s="1052"/>
      <c r="Q19" s="1052"/>
      <c r="R19" s="1052"/>
      <c r="S19" s="1052"/>
      <c r="T19" s="1087"/>
      <c r="U19" s="1052" t="s">
        <v>17</v>
      </c>
      <c r="V19" s="1052"/>
      <c r="W19" s="1052"/>
      <c r="X19" s="1052"/>
      <c r="Y19" s="1052"/>
      <c r="Z19" s="1062" t="s">
        <v>3</v>
      </c>
      <c r="AA19" s="1059"/>
      <c r="AB19" s="7"/>
      <c r="AC19" s="7"/>
      <c r="AD19" s="7"/>
      <c r="AE19" s="7"/>
      <c r="AF19" s="7"/>
      <c r="AG19" s="7"/>
    </row>
    <row r="20" spans="1:33" ht="6.75" customHeight="1">
      <c r="A20" s="799"/>
      <c r="B20" s="5"/>
      <c r="C20" s="70" t="s">
        <v>51</v>
      </c>
      <c r="D20" s="798"/>
      <c r="E20" s="1054"/>
      <c r="F20" s="1054"/>
      <c r="G20" s="1054"/>
      <c r="H20" s="1054"/>
      <c r="I20" s="1054"/>
      <c r="J20" s="1054"/>
      <c r="K20" s="1055"/>
      <c r="L20" s="870"/>
      <c r="M20" s="791"/>
      <c r="N20" s="1140"/>
      <c r="O20" s="1054"/>
      <c r="P20" s="1054"/>
      <c r="Q20" s="1054"/>
      <c r="R20" s="1054"/>
      <c r="S20" s="1054"/>
      <c r="T20" s="1086"/>
      <c r="U20" s="1054"/>
      <c r="V20" s="1054"/>
      <c r="W20" s="1054"/>
      <c r="X20" s="1054"/>
      <c r="Y20" s="1054"/>
      <c r="Z20" s="1063" t="s">
        <v>36</v>
      </c>
      <c r="AA20" s="1064"/>
      <c r="AB20" s="8"/>
      <c r="AC20" s="7"/>
      <c r="AD20" s="7"/>
      <c r="AE20" s="7"/>
      <c r="AF20" s="7"/>
      <c r="AG20" s="7"/>
    </row>
    <row r="21" spans="1:33" ht="10.5" customHeight="1">
      <c r="A21" s="799" t="s">
        <v>54</v>
      </c>
      <c r="B21" s="5"/>
      <c r="C21" s="70" t="s">
        <v>9</v>
      </c>
      <c r="D21" s="1101" t="s">
        <v>168</v>
      </c>
      <c r="E21" s="1081" t="s">
        <v>169</v>
      </c>
      <c r="F21" s="1107" t="s">
        <v>179</v>
      </c>
      <c r="G21" s="1218" t="s">
        <v>180</v>
      </c>
      <c r="H21" s="1041" t="s">
        <v>118</v>
      </c>
      <c r="I21" s="1038"/>
      <c r="J21" s="1107" t="s">
        <v>243</v>
      </c>
      <c r="K21" s="1157"/>
      <c r="L21" s="1044" t="s">
        <v>171</v>
      </c>
      <c r="M21" s="1041" t="s">
        <v>131</v>
      </c>
      <c r="N21" s="1070" t="s">
        <v>235</v>
      </c>
      <c r="O21" s="1070" t="s">
        <v>295</v>
      </c>
      <c r="P21" s="1107" t="s">
        <v>244</v>
      </c>
      <c r="Q21" s="1157"/>
      <c r="R21" s="1070" t="s">
        <v>252</v>
      </c>
      <c r="S21" s="1041" t="s">
        <v>135</v>
      </c>
      <c r="T21" s="1070" t="s">
        <v>68</v>
      </c>
      <c r="U21" s="1157" t="s">
        <v>245</v>
      </c>
      <c r="V21" s="1107" t="s">
        <v>246</v>
      </c>
      <c r="W21" s="1157" t="s">
        <v>247</v>
      </c>
      <c r="X21" s="1070" t="s">
        <v>248</v>
      </c>
      <c r="Y21" s="1157" t="s">
        <v>70</v>
      </c>
      <c r="Z21" s="24"/>
      <c r="AA21" s="802"/>
      <c r="AB21" s="7"/>
      <c r="AC21" s="7"/>
      <c r="AD21" s="7"/>
      <c r="AE21" s="7"/>
      <c r="AF21" s="7"/>
      <c r="AG21" s="7"/>
    </row>
    <row r="22" spans="1:33" ht="10.5" customHeight="1">
      <c r="A22" s="799"/>
      <c r="B22" s="5"/>
      <c r="C22" s="70" t="s">
        <v>10</v>
      </c>
      <c r="D22" s="1102"/>
      <c r="E22" s="1082"/>
      <c r="F22" s="1160"/>
      <c r="G22" s="1219"/>
      <c r="H22" s="1042"/>
      <c r="I22" s="1039"/>
      <c r="J22" s="1160"/>
      <c r="K22" s="1158"/>
      <c r="L22" s="1045"/>
      <c r="M22" s="1042"/>
      <c r="N22" s="1071"/>
      <c r="O22" s="1071"/>
      <c r="P22" s="1160"/>
      <c r="Q22" s="1158"/>
      <c r="R22" s="1130"/>
      <c r="S22" s="1042"/>
      <c r="T22" s="1071"/>
      <c r="U22" s="1158"/>
      <c r="V22" s="1160"/>
      <c r="W22" s="1158"/>
      <c r="X22" s="1071"/>
      <c r="Y22" s="1158"/>
      <c r="Z22" s="19" t="s">
        <v>6</v>
      </c>
      <c r="AA22" s="798" t="s">
        <v>4</v>
      </c>
      <c r="AB22" s="7"/>
      <c r="AC22" s="7"/>
      <c r="AD22" s="7"/>
      <c r="AE22" s="7"/>
      <c r="AF22" s="7"/>
      <c r="AG22" s="7"/>
    </row>
    <row r="23" spans="1:33" ht="93.75" customHeight="1">
      <c r="A23" s="796"/>
      <c r="B23" s="4"/>
      <c r="C23" s="71"/>
      <c r="D23" s="1103"/>
      <c r="E23" s="1083"/>
      <c r="F23" s="1161"/>
      <c r="G23" s="1220"/>
      <c r="H23" s="1043"/>
      <c r="I23" s="1040"/>
      <c r="J23" s="1161"/>
      <c r="K23" s="1159"/>
      <c r="L23" s="1046"/>
      <c r="M23" s="1043"/>
      <c r="N23" s="1072"/>
      <c r="O23" s="1072"/>
      <c r="P23" s="1161"/>
      <c r="Q23" s="1159"/>
      <c r="R23" s="1217"/>
      <c r="S23" s="1043"/>
      <c r="T23" s="1071"/>
      <c r="U23" s="1159"/>
      <c r="V23" s="1161"/>
      <c r="W23" s="1159"/>
      <c r="X23" s="1072"/>
      <c r="Y23" s="1159"/>
      <c r="Z23" s="4" t="s">
        <v>7</v>
      </c>
      <c r="AA23" s="793" t="s">
        <v>5</v>
      </c>
      <c r="AB23" s="7"/>
      <c r="AC23" s="7"/>
      <c r="AD23" s="7"/>
      <c r="AE23" s="7"/>
      <c r="AF23" s="7"/>
      <c r="AG23" s="7"/>
    </row>
    <row r="24" spans="1:33" ht="11.25" customHeight="1">
      <c r="A24" s="64">
        <v>1</v>
      </c>
      <c r="B24" s="795">
        <v>2</v>
      </c>
      <c r="C24" s="72">
        <v>3</v>
      </c>
      <c r="D24" s="86">
        <v>4</v>
      </c>
      <c r="E24" s="80">
        <v>5</v>
      </c>
      <c r="F24" s="86">
        <v>6</v>
      </c>
      <c r="G24" s="825">
        <v>7</v>
      </c>
      <c r="H24" s="87">
        <v>8</v>
      </c>
      <c r="I24" s="80">
        <v>9</v>
      </c>
      <c r="J24" s="82">
        <v>10</v>
      </c>
      <c r="K24" s="95">
        <v>11</v>
      </c>
      <c r="L24" s="96">
        <v>12</v>
      </c>
      <c r="M24" s="96">
        <v>13</v>
      </c>
      <c r="N24" s="871">
        <v>14</v>
      </c>
      <c r="O24" s="680">
        <v>15</v>
      </c>
      <c r="P24" s="872">
        <v>16</v>
      </c>
      <c r="Q24" s="873">
        <v>17</v>
      </c>
      <c r="R24" s="81">
        <v>18</v>
      </c>
      <c r="S24" s="874">
        <v>19</v>
      </c>
      <c r="T24" s="98">
        <v>20</v>
      </c>
      <c r="U24" s="80">
        <v>21</v>
      </c>
      <c r="V24" s="868">
        <v>22</v>
      </c>
      <c r="W24" s="95">
        <v>23</v>
      </c>
      <c r="X24" s="81">
        <v>24</v>
      </c>
      <c r="Y24" s="96">
        <v>25</v>
      </c>
      <c r="Z24" s="35">
        <v>26</v>
      </c>
      <c r="AA24" s="794">
        <v>27</v>
      </c>
      <c r="AB24" s="7"/>
      <c r="AC24" s="7"/>
      <c r="AD24" s="7"/>
      <c r="AE24" s="7"/>
      <c r="AF24" s="7"/>
      <c r="AG24" s="7"/>
    </row>
    <row r="25" spans="1:33" ht="15.95" customHeight="1">
      <c r="A25" s="16" t="s">
        <v>18</v>
      </c>
      <c r="B25" s="221">
        <v>100</v>
      </c>
      <c r="C25" s="73"/>
      <c r="D25" s="89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109">
        <f>F25</f>
        <v>100</v>
      </c>
      <c r="K25" s="99">
        <f>B25</f>
        <v>100</v>
      </c>
      <c r="L25" s="99">
        <f>B25</f>
        <v>100</v>
      </c>
      <c r="M25" s="99">
        <f>B25</f>
        <v>100</v>
      </c>
      <c r="N25" s="160">
        <f>B25</f>
        <v>100</v>
      </c>
      <c r="O25" s="99">
        <f>B25</f>
        <v>100</v>
      </c>
      <c r="P25" s="109">
        <f>F25</f>
        <v>100</v>
      </c>
      <c r="Q25" s="99">
        <f>B25</f>
        <v>100</v>
      </c>
      <c r="R25" s="99">
        <f>B25</f>
        <v>100</v>
      </c>
      <c r="S25" s="99">
        <f>B25</f>
        <v>100</v>
      </c>
      <c r="T25" s="99">
        <f>B25</f>
        <v>100</v>
      </c>
      <c r="U25" s="99">
        <f>B25</f>
        <v>100</v>
      </c>
      <c r="V25" s="677">
        <f>F25</f>
        <v>100</v>
      </c>
      <c r="W25" s="99">
        <f>B25</f>
        <v>100</v>
      </c>
      <c r="X25" s="99">
        <f>B25</f>
        <v>100</v>
      </c>
      <c r="Y25" s="99">
        <f>B25</f>
        <v>100</v>
      </c>
      <c r="Z25" s="12" t="s">
        <v>66</v>
      </c>
      <c r="AA25" s="68" t="s">
        <v>64</v>
      </c>
      <c r="AB25" s="7"/>
      <c r="AC25" s="7"/>
      <c r="AD25" s="7"/>
      <c r="AE25" s="7"/>
      <c r="AF25" s="7"/>
    </row>
    <row r="26" spans="1:33" ht="15.95" customHeight="1" thickBot="1">
      <c r="A26" s="59" t="s">
        <v>19</v>
      </c>
      <c r="B26" s="60"/>
      <c r="C26" s="74"/>
      <c r="D26" s="91">
        <v>25</v>
      </c>
      <c r="E26" s="119">
        <f>D26*F25/B25</f>
        <v>25</v>
      </c>
      <c r="F26" s="91">
        <v>156</v>
      </c>
      <c r="G26" s="119">
        <f>F26*F25/B25</f>
        <v>156</v>
      </c>
      <c r="H26" s="91">
        <v>180</v>
      </c>
      <c r="I26" s="119">
        <f>H26*H25/B25</f>
        <v>180</v>
      </c>
      <c r="J26" s="111">
        <v>48</v>
      </c>
      <c r="K26" s="119">
        <f>J26*J25/B25</f>
        <v>48</v>
      </c>
      <c r="L26" s="643">
        <f>L70/B25*1000</f>
        <v>20</v>
      </c>
      <c r="M26" s="119">
        <f>M50/B25*1000</f>
        <v>100</v>
      </c>
      <c r="N26" s="100">
        <v>200</v>
      </c>
      <c r="O26" s="119">
        <f>O38/B25/0.00236</f>
        <v>10</v>
      </c>
      <c r="P26" s="111">
        <v>160</v>
      </c>
      <c r="Q26" s="119">
        <f>P26*P25/B25</f>
        <v>160</v>
      </c>
      <c r="R26" s="119">
        <v>30</v>
      </c>
      <c r="S26" s="100">
        <v>180</v>
      </c>
      <c r="T26" s="119">
        <f>T72/B25*1000</f>
        <v>40</v>
      </c>
      <c r="U26" s="100">
        <v>50</v>
      </c>
      <c r="V26" s="138">
        <v>100</v>
      </c>
      <c r="W26" s="119">
        <f>V26*V25/B25</f>
        <v>100</v>
      </c>
      <c r="X26" s="100">
        <v>187</v>
      </c>
      <c r="Y26" s="119">
        <f>Y74/B25*1000</f>
        <v>20</v>
      </c>
      <c r="Z26" s="61"/>
      <c r="AA26" s="69"/>
      <c r="AB26" s="7"/>
      <c r="AC26" s="7"/>
      <c r="AD26" s="7"/>
      <c r="AE26" s="7"/>
      <c r="AF26" s="7"/>
    </row>
    <row r="27" spans="1:33" ht="15" customHeight="1" thickTop="1">
      <c r="A27" s="133"/>
      <c r="B27" s="5" t="s">
        <v>65</v>
      </c>
      <c r="C27" s="77" t="s">
        <v>72</v>
      </c>
      <c r="D27" s="287"/>
      <c r="E27" s="88"/>
      <c r="F27" s="92"/>
      <c r="G27" s="88"/>
      <c r="H27" s="107"/>
      <c r="I27" s="88"/>
      <c r="J27" s="108"/>
      <c r="K27" s="88"/>
      <c r="L27" s="88"/>
      <c r="M27" s="88"/>
      <c r="N27" s="88"/>
      <c r="O27" s="88"/>
      <c r="P27" s="177">
        <f>64.2/160*P26</f>
        <v>64.2</v>
      </c>
      <c r="Q27" s="129">
        <f>P27/P26*Q26</f>
        <v>64.2</v>
      </c>
      <c r="R27" s="129"/>
      <c r="S27" s="88"/>
      <c r="T27" s="88"/>
      <c r="U27" s="88"/>
      <c r="V27" s="428"/>
      <c r="W27" s="88"/>
      <c r="X27" s="88"/>
      <c r="Y27" s="88"/>
      <c r="Z27" s="78"/>
      <c r="AA27" s="79"/>
      <c r="AB27" s="7"/>
      <c r="AC27" s="7"/>
      <c r="AD27" s="7"/>
      <c r="AE27" s="7"/>
      <c r="AF27" s="7"/>
    </row>
    <row r="28" spans="1:33" ht="15.75" customHeight="1" thickBot="1">
      <c r="A28" s="346" t="s">
        <v>250</v>
      </c>
      <c r="B28" s="347">
        <v>288</v>
      </c>
      <c r="C28" s="348" t="s">
        <v>73</v>
      </c>
      <c r="D28" s="385"/>
      <c r="E28" s="350"/>
      <c r="F28" s="363"/>
      <c r="G28" s="350"/>
      <c r="H28" s="349"/>
      <c r="I28" s="350"/>
      <c r="J28" s="349"/>
      <c r="K28" s="350"/>
      <c r="L28" s="350"/>
      <c r="M28" s="350"/>
      <c r="N28" s="350"/>
      <c r="O28" s="350"/>
      <c r="P28" s="349">
        <f>P27*P25/1000</f>
        <v>6.42</v>
      </c>
      <c r="Q28" s="341">
        <f>P28</f>
        <v>6.42</v>
      </c>
      <c r="R28" s="341"/>
      <c r="S28" s="350"/>
      <c r="T28" s="350"/>
      <c r="U28" s="350"/>
      <c r="V28" s="360"/>
      <c r="W28" s="350"/>
      <c r="X28" s="350"/>
      <c r="Y28" s="350"/>
      <c r="Z28" s="343">
        <f>ROUND(E28+G28+I28+K28+L28+M28+N28+O28+Q28+R28+S28+T28+U28+W28+X28+Y28,2)</f>
        <v>6.42</v>
      </c>
      <c r="AA28" s="368">
        <f>Z28*B28</f>
        <v>1848.96</v>
      </c>
      <c r="AB28" s="7"/>
      <c r="AC28" s="223">
        <f t="shared" ref="AC28" si="0">Z28+Z123</f>
        <v>12.04</v>
      </c>
      <c r="AD28" s="7" t="str">
        <f>A28</f>
        <v>Фарш говяжий</v>
      </c>
      <c r="AE28" s="7"/>
      <c r="AF28" s="7"/>
    </row>
    <row r="29" spans="1:33" ht="15" customHeight="1" thickTop="1">
      <c r="A29" s="133"/>
      <c r="B29" s="121"/>
      <c r="C29" s="77" t="s">
        <v>72</v>
      </c>
      <c r="D29" s="90">
        <v>5</v>
      </c>
      <c r="E29" s="129">
        <f>D29/D26*E26</f>
        <v>5</v>
      </c>
      <c r="F29" s="90">
        <v>3</v>
      </c>
      <c r="G29" s="129">
        <f>F29/F26*G26</f>
        <v>3</v>
      </c>
      <c r="H29" s="108"/>
      <c r="I29" s="88"/>
      <c r="J29" s="108"/>
      <c r="K29" s="88"/>
      <c r="L29" s="88"/>
      <c r="M29" s="88"/>
      <c r="N29" s="131">
        <v>0.7</v>
      </c>
      <c r="O29" s="88"/>
      <c r="P29" s="177">
        <f>4.6/160*P26</f>
        <v>4.5999999999999996</v>
      </c>
      <c r="Q29" s="129">
        <f>P29/P26*Q26</f>
        <v>4.5999999999999996</v>
      </c>
      <c r="R29" s="129"/>
      <c r="S29" s="88"/>
      <c r="T29" s="88"/>
      <c r="U29" s="131"/>
      <c r="V29" s="892">
        <f>2.9/100*V26</f>
        <v>2.9</v>
      </c>
      <c r="W29" s="629">
        <f>V29/V26*W26</f>
        <v>2.9</v>
      </c>
      <c r="X29" s="88"/>
      <c r="Y29" s="88"/>
      <c r="Z29" s="125"/>
      <c r="AA29" s="123"/>
      <c r="AB29" s="7"/>
      <c r="AC29" s="224"/>
      <c r="AD29" s="7"/>
      <c r="AE29" s="7"/>
      <c r="AF29" s="7"/>
      <c r="AG29" s="624"/>
    </row>
    <row r="30" spans="1:33" ht="16.5" customHeight="1" thickBot="1">
      <c r="A30" s="346" t="s">
        <v>79</v>
      </c>
      <c r="B30" s="347">
        <v>595</v>
      </c>
      <c r="C30" s="348" t="s">
        <v>73</v>
      </c>
      <c r="D30" s="363">
        <f>ROUND(D29*F25/1000,2)</f>
        <v>0.5</v>
      </c>
      <c r="E30" s="341">
        <f>D30</f>
        <v>0.5</v>
      </c>
      <c r="F30" s="363">
        <f>F29*F25/1000</f>
        <v>0.3</v>
      </c>
      <c r="G30" s="341">
        <f>ROUND(F30,2)</f>
        <v>0.3</v>
      </c>
      <c r="H30" s="349"/>
      <c r="I30" s="350"/>
      <c r="J30" s="349"/>
      <c r="K30" s="350"/>
      <c r="L30" s="350"/>
      <c r="M30" s="350"/>
      <c r="N30" s="341">
        <f>ROUND(N29*B25/1000,2)</f>
        <v>7.0000000000000007E-2</v>
      </c>
      <c r="O30" s="350">
        <f>ROUND(O29*B25/1000,2)</f>
        <v>0</v>
      </c>
      <c r="P30" s="363">
        <f>P29*P25/1000</f>
        <v>0.45999999999999996</v>
      </c>
      <c r="Q30" s="341">
        <f>P30</f>
        <v>0.45999999999999996</v>
      </c>
      <c r="R30" s="350"/>
      <c r="S30" s="350"/>
      <c r="T30" s="350"/>
      <c r="U30" s="350"/>
      <c r="V30" s="349">
        <f>V29*V25/1000</f>
        <v>0.28999999999999998</v>
      </c>
      <c r="W30" s="341">
        <f>W29*B25/1000</f>
        <v>0.28999999999999998</v>
      </c>
      <c r="X30" s="350"/>
      <c r="Y30" s="350"/>
      <c r="Z30" s="343">
        <f>ROUND(E30+G30+I30+K30+L30+M30+N30+O30+Q30+R30+S30+T30+U30+W30+X30+Y30,2)</f>
        <v>1.62</v>
      </c>
      <c r="AA30" s="344">
        <f>Z30*B30</f>
        <v>963.90000000000009</v>
      </c>
      <c r="AB30" s="7"/>
      <c r="AC30" s="223">
        <f>Z30+Z125</f>
        <v>3.17</v>
      </c>
      <c r="AD30" s="7" t="str">
        <f>A30</f>
        <v>Масло слив.</v>
      </c>
      <c r="AE30" s="7"/>
      <c r="AF30" s="7"/>
      <c r="AG30" s="7"/>
    </row>
    <row r="31" spans="1:33" ht="15" customHeight="1" thickTop="1">
      <c r="A31" s="133"/>
      <c r="B31" s="121"/>
      <c r="C31" s="77" t="s">
        <v>72</v>
      </c>
      <c r="D31" s="287"/>
      <c r="E31" s="88"/>
      <c r="F31" s="90"/>
      <c r="G31" s="88"/>
      <c r="H31" s="108"/>
      <c r="I31" s="88"/>
      <c r="J31" s="108"/>
      <c r="K31" s="88"/>
      <c r="L31" s="88"/>
      <c r="M31" s="88"/>
      <c r="N31" s="131">
        <v>1.8</v>
      </c>
      <c r="O31" s="131"/>
      <c r="P31" s="177"/>
      <c r="Q31" s="129"/>
      <c r="R31" s="129"/>
      <c r="S31" s="88"/>
      <c r="T31" s="88"/>
      <c r="U31" s="131">
        <v>2.5</v>
      </c>
      <c r="V31" s="892"/>
      <c r="W31" s="629">
        <f>V31/V26*W26</f>
        <v>0</v>
      </c>
      <c r="X31" s="88"/>
      <c r="Y31" s="88"/>
      <c r="Z31" s="125"/>
      <c r="AA31" s="123"/>
      <c r="AB31" s="7"/>
      <c r="AC31" s="224"/>
      <c r="AD31" s="7"/>
      <c r="AE31" s="7"/>
      <c r="AF31" s="7"/>
      <c r="AG31" s="7"/>
    </row>
    <row r="32" spans="1:33" ht="15.75" customHeight="1" thickBot="1">
      <c r="A32" s="346" t="s">
        <v>78</v>
      </c>
      <c r="B32" s="347">
        <v>104.42</v>
      </c>
      <c r="C32" s="348" t="s">
        <v>73</v>
      </c>
      <c r="D32" s="385"/>
      <c r="E32" s="350"/>
      <c r="F32" s="363"/>
      <c r="G32" s="350"/>
      <c r="H32" s="349"/>
      <c r="I32" s="350"/>
      <c r="J32" s="349"/>
      <c r="K32" s="350"/>
      <c r="L32" s="350"/>
      <c r="M32" s="350"/>
      <c r="N32" s="341">
        <f>N31*N25/1000</f>
        <v>0.18</v>
      </c>
      <c r="O32" s="341">
        <f>O31*B25/1000</f>
        <v>0</v>
      </c>
      <c r="P32" s="349"/>
      <c r="Q32" s="350"/>
      <c r="R32" s="350"/>
      <c r="S32" s="350"/>
      <c r="T32" s="350"/>
      <c r="U32" s="372">
        <f>U31*B25/1000</f>
        <v>0.25</v>
      </c>
      <c r="V32" s="349">
        <f>V31*V25/1000</f>
        <v>0</v>
      </c>
      <c r="W32" s="341">
        <f>V32</f>
        <v>0</v>
      </c>
      <c r="X32" s="350"/>
      <c r="Y32" s="350"/>
      <c r="Z32" s="343">
        <f>ROUND(E32+G32+I32+K32+L32+M32+N32+O32+Q32+R32+S32+T32+U32+W32+X32+Y32,2)</f>
        <v>0.43</v>
      </c>
      <c r="AA32" s="344">
        <f>Z32*B32</f>
        <v>44.900599999999997</v>
      </c>
      <c r="AB32" s="7"/>
      <c r="AC32" s="223">
        <f t="shared" ref="AC32" si="1">Z32+Z127</f>
        <v>0.74</v>
      </c>
      <c r="AD32" s="7" t="str">
        <f>A32</f>
        <v>Масло раст.</v>
      </c>
      <c r="AE32" s="7"/>
      <c r="AF32" s="7"/>
      <c r="AG32" s="7"/>
    </row>
    <row r="33" spans="1:33" ht="14.25" customHeight="1" thickTop="1">
      <c r="A33" s="133"/>
      <c r="B33" s="121"/>
      <c r="C33" s="77" t="s">
        <v>72</v>
      </c>
      <c r="D33" s="287"/>
      <c r="E33" s="88"/>
      <c r="F33" s="90">
        <v>129</v>
      </c>
      <c r="G33" s="129">
        <f>F33/F26*G26</f>
        <v>129</v>
      </c>
      <c r="H33" s="108">
        <v>90</v>
      </c>
      <c r="I33" s="129">
        <f>H33/H26*I26</f>
        <v>90</v>
      </c>
      <c r="J33" s="108"/>
      <c r="K33" s="88"/>
      <c r="L33" s="88"/>
      <c r="M33" s="88"/>
      <c r="N33" s="131">
        <v>9.6999999999999993</v>
      </c>
      <c r="O33" s="88"/>
      <c r="P33" s="177"/>
      <c r="Q33" s="129"/>
      <c r="R33" s="129"/>
      <c r="S33" s="88"/>
      <c r="T33" s="88"/>
      <c r="U33" s="88"/>
      <c r="V33" s="892"/>
      <c r="W33" s="629"/>
      <c r="X33" s="131"/>
      <c r="Y33" s="88"/>
      <c r="Z33" s="125"/>
      <c r="AA33" s="123"/>
      <c r="AB33" s="7"/>
      <c r="AC33" s="224"/>
      <c r="AD33" s="7"/>
      <c r="AE33" s="7"/>
      <c r="AF33" s="7"/>
      <c r="AG33" s="7"/>
    </row>
    <row r="34" spans="1:33" ht="15.95" customHeight="1" thickBot="1">
      <c r="A34" s="346" t="s">
        <v>81</v>
      </c>
      <c r="B34" s="347">
        <v>67.8</v>
      </c>
      <c r="C34" s="348" t="s">
        <v>73</v>
      </c>
      <c r="D34" s="385"/>
      <c r="E34" s="350"/>
      <c r="F34" s="363">
        <f>F33*F25/1000</f>
        <v>12.9</v>
      </c>
      <c r="G34" s="365">
        <f>F34</f>
        <v>12.9</v>
      </c>
      <c r="H34" s="349">
        <f>H33*F25/1000</f>
        <v>9</v>
      </c>
      <c r="I34" s="365">
        <f>H34</f>
        <v>9</v>
      </c>
      <c r="J34" s="349"/>
      <c r="K34" s="350"/>
      <c r="L34" s="350"/>
      <c r="M34" s="350"/>
      <c r="N34" s="365">
        <f>N33*B25/1000</f>
        <v>0.96999999999999986</v>
      </c>
      <c r="O34" s="350"/>
      <c r="P34" s="377"/>
      <c r="Q34" s="350"/>
      <c r="R34" s="350"/>
      <c r="S34" s="350"/>
      <c r="T34" s="350"/>
      <c r="U34" s="350"/>
      <c r="V34" s="349"/>
      <c r="W34" s="341"/>
      <c r="X34" s="341"/>
      <c r="Y34" s="350"/>
      <c r="Z34" s="356">
        <f>ROUND(E34+G34+I34+K34+L34+M34+N34+O34+Q34+R34+S34+T34+U34+W34+X34+Y34,3)</f>
        <v>22.87</v>
      </c>
      <c r="AA34" s="344">
        <f>Z34*B34</f>
        <v>1550.586</v>
      </c>
      <c r="AB34" s="7"/>
      <c r="AC34" s="225">
        <f>Z34+Z129</f>
        <v>44.24</v>
      </c>
      <c r="AD34" s="7" t="str">
        <f>A34</f>
        <v>Молоко св.</v>
      </c>
      <c r="AE34" s="7"/>
      <c r="AF34" s="7"/>
      <c r="AG34" s="7"/>
    </row>
    <row r="35" spans="1:33" ht="15" customHeight="1" thickTop="1">
      <c r="A35" s="133"/>
      <c r="B35" s="121"/>
      <c r="C35" s="77" t="s">
        <v>72</v>
      </c>
      <c r="D35" s="287"/>
      <c r="E35" s="88"/>
      <c r="F35" s="90"/>
      <c r="G35" s="88"/>
      <c r="H35" s="108"/>
      <c r="I35" s="88"/>
      <c r="J35" s="108"/>
      <c r="K35" s="88"/>
      <c r="L35" s="88"/>
      <c r="M35" s="88"/>
      <c r="N35" s="88"/>
      <c r="O35" s="129"/>
      <c r="P35" s="177"/>
      <c r="Q35" s="88"/>
      <c r="R35" s="88"/>
      <c r="S35" s="88"/>
      <c r="T35" s="88"/>
      <c r="U35" s="88"/>
      <c r="V35" s="890">
        <f>35.4/100*V26</f>
        <v>35.4</v>
      </c>
      <c r="W35" s="129">
        <f>V35/V26*W26</f>
        <v>35.4</v>
      </c>
      <c r="X35" s="88"/>
      <c r="Y35" s="88"/>
      <c r="Z35" s="125"/>
      <c r="AA35" s="123"/>
      <c r="AB35" s="7"/>
      <c r="AC35" s="224"/>
      <c r="AD35" s="7"/>
      <c r="AE35" s="7"/>
      <c r="AF35" s="7"/>
      <c r="AG35" s="7"/>
    </row>
    <row r="36" spans="1:33" ht="15.95" customHeight="1" thickBot="1">
      <c r="A36" s="346" t="s">
        <v>251</v>
      </c>
      <c r="B36" s="347">
        <v>267.8</v>
      </c>
      <c r="C36" s="348" t="s">
        <v>73</v>
      </c>
      <c r="D36" s="385"/>
      <c r="E36" s="350"/>
      <c r="F36" s="363"/>
      <c r="G36" s="350"/>
      <c r="H36" s="349"/>
      <c r="I36" s="350"/>
      <c r="J36" s="349"/>
      <c r="K36" s="350"/>
      <c r="L36" s="350"/>
      <c r="M36" s="350"/>
      <c r="N36" s="350"/>
      <c r="O36" s="341"/>
      <c r="P36" s="349"/>
      <c r="Q36" s="350"/>
      <c r="R36" s="350"/>
      <c r="S36" s="350"/>
      <c r="T36" s="350"/>
      <c r="U36" s="350"/>
      <c r="V36" s="363">
        <f>V35*V25/1000</f>
        <v>3.54</v>
      </c>
      <c r="W36" s="341">
        <f>V36</f>
        <v>3.54</v>
      </c>
      <c r="X36" s="350"/>
      <c r="Y36" s="350"/>
      <c r="Z36" s="343">
        <f>ROUND(E36+G36+I36+K36+L36+M36+N36+O36+Q36+R36+S36+T36+U36+W36+X36+Y36,2)</f>
        <v>3.54</v>
      </c>
      <c r="AA36" s="344">
        <f>Z36*B36</f>
        <v>948.01200000000006</v>
      </c>
      <c r="AB36" s="7"/>
      <c r="AC36" s="225">
        <f t="shared" ref="AC36" si="2">Z36+Z131</f>
        <v>7.08</v>
      </c>
      <c r="AD36" s="7" t="str">
        <f>A36</f>
        <v>Печень  гов.</v>
      </c>
      <c r="AE36" s="7"/>
      <c r="AF36" s="7"/>
      <c r="AG36" s="7"/>
    </row>
    <row r="37" spans="1:33" ht="15" customHeight="1" thickTop="1">
      <c r="A37" s="133"/>
      <c r="B37" s="121"/>
      <c r="C37" s="77" t="s">
        <v>72</v>
      </c>
      <c r="D37" s="287"/>
      <c r="E37" s="88"/>
      <c r="F37" s="90"/>
      <c r="G37" s="88"/>
      <c r="H37" s="108"/>
      <c r="I37" s="88"/>
      <c r="J37" s="108"/>
      <c r="K37" s="88"/>
      <c r="L37" s="88"/>
      <c r="M37" s="88"/>
      <c r="N37" s="131"/>
      <c r="O37" s="113">
        <f>O38/B25*1000</f>
        <v>23.599999999999998</v>
      </c>
      <c r="P37" s="177"/>
      <c r="Q37" s="88"/>
      <c r="R37" s="88"/>
      <c r="S37" s="88"/>
      <c r="T37" s="88"/>
      <c r="U37" s="88"/>
      <c r="V37" s="591"/>
      <c r="W37" s="498"/>
      <c r="X37" s="88"/>
      <c r="Y37" s="88"/>
      <c r="Z37" s="125"/>
      <c r="AA37" s="123"/>
      <c r="AB37" s="7"/>
      <c r="AC37" s="224"/>
      <c r="AD37" s="7"/>
      <c r="AE37" s="7"/>
      <c r="AF37" s="7"/>
      <c r="AG37" s="7"/>
    </row>
    <row r="38" spans="1:33" ht="16.5" customHeight="1" thickBot="1">
      <c r="A38" s="346" t="s">
        <v>113</v>
      </c>
      <c r="B38" s="347">
        <v>210</v>
      </c>
      <c r="C38" s="348" t="s">
        <v>73</v>
      </c>
      <c r="D38" s="385"/>
      <c r="E38" s="350"/>
      <c r="F38" s="363"/>
      <c r="G38" s="350"/>
      <c r="H38" s="349"/>
      <c r="I38" s="350"/>
      <c r="J38" s="349"/>
      <c r="K38" s="350"/>
      <c r="L38" s="350"/>
      <c r="M38" s="350"/>
      <c r="N38" s="341"/>
      <c r="O38" s="365">
        <v>2.36</v>
      </c>
      <c r="P38" s="349"/>
      <c r="Q38" s="350"/>
      <c r="R38" s="350"/>
      <c r="S38" s="350"/>
      <c r="T38" s="350"/>
      <c r="U38" s="350"/>
      <c r="V38" s="360"/>
      <c r="W38" s="350"/>
      <c r="X38" s="350"/>
      <c r="Y38" s="350"/>
      <c r="Z38" s="356">
        <f>ROUND(E38+G38+I38+K38+L38+M38+N38+O38+Q38+R38+S38+T38+U38+W38+X38+Y38,3)</f>
        <v>2.36</v>
      </c>
      <c r="AA38" s="344">
        <f>Z38*B38</f>
        <v>495.59999999999997</v>
      </c>
      <c r="AB38" s="7"/>
      <c r="AC38" s="225">
        <f>Z38+Z133</f>
        <v>4.72</v>
      </c>
      <c r="AD38" s="7" t="str">
        <f>A38</f>
        <v>Цыплята бр.</v>
      </c>
      <c r="AE38" s="7"/>
      <c r="AF38" s="7"/>
      <c r="AG38" s="7"/>
    </row>
    <row r="39" spans="1:33" ht="15" customHeight="1" thickTop="1">
      <c r="A39" s="133"/>
      <c r="B39" s="121"/>
      <c r="C39" s="77" t="s">
        <v>72</v>
      </c>
      <c r="D39" s="287"/>
      <c r="E39" s="88"/>
      <c r="F39" s="90"/>
      <c r="G39" s="88"/>
      <c r="H39" s="108"/>
      <c r="I39" s="88"/>
      <c r="J39" s="108"/>
      <c r="K39" s="88"/>
      <c r="L39" s="88"/>
      <c r="M39" s="88"/>
      <c r="N39" s="131">
        <v>6.2</v>
      </c>
      <c r="O39" s="131"/>
      <c r="P39" s="177"/>
      <c r="Q39" s="129"/>
      <c r="R39" s="131">
        <v>2</v>
      </c>
      <c r="S39" s="88"/>
      <c r="T39" s="88"/>
      <c r="U39" s="131"/>
      <c r="V39" s="890"/>
      <c r="W39" s="129"/>
      <c r="X39" s="88"/>
      <c r="Y39" s="88"/>
      <c r="Z39" s="125"/>
      <c r="AA39" s="123"/>
      <c r="AB39" s="7"/>
      <c r="AC39" s="224"/>
      <c r="AD39" s="7"/>
      <c r="AE39" s="7"/>
      <c r="AF39" s="7"/>
      <c r="AG39" s="7"/>
    </row>
    <row r="40" spans="1:33" ht="18.2" customHeight="1" thickBot="1">
      <c r="A40" s="346" t="s">
        <v>76</v>
      </c>
      <c r="B40" s="347">
        <v>29.08</v>
      </c>
      <c r="C40" s="348" t="s">
        <v>73</v>
      </c>
      <c r="D40" s="385"/>
      <c r="E40" s="350"/>
      <c r="F40" s="363"/>
      <c r="G40" s="350"/>
      <c r="H40" s="349"/>
      <c r="I40" s="350"/>
      <c r="J40" s="349"/>
      <c r="K40" s="350"/>
      <c r="L40" s="350"/>
      <c r="M40" s="350"/>
      <c r="N40" s="341">
        <f>N39*B25/1000</f>
        <v>0.62</v>
      </c>
      <c r="O40" s="341"/>
      <c r="P40" s="349"/>
      <c r="Q40" s="350"/>
      <c r="R40" s="341">
        <f>R39*B25/1000</f>
        <v>0.2</v>
      </c>
      <c r="S40" s="350"/>
      <c r="T40" s="350"/>
      <c r="U40" s="350"/>
      <c r="V40" s="349"/>
      <c r="W40" s="341"/>
      <c r="X40" s="350"/>
      <c r="Y40" s="350"/>
      <c r="Z40" s="343">
        <f>ROUND(E40+G40+I40+K40+L40+M40+N40+O40+Q40+R40+S40+T40+U40+W40+X40+Y40,2)</f>
        <v>0.82</v>
      </c>
      <c r="AA40" s="344">
        <f>Z40*B40</f>
        <v>23.845599999999997</v>
      </c>
      <c r="AB40" s="7"/>
      <c r="AC40" s="223">
        <f t="shared" ref="AC40:AC50" si="3">Z40+Z135</f>
        <v>1.58</v>
      </c>
      <c r="AD40" s="7" t="str">
        <f>A40</f>
        <v>Мука пшен.</v>
      </c>
      <c r="AE40" s="7"/>
      <c r="AF40" s="7"/>
      <c r="AG40" s="7"/>
    </row>
    <row r="41" spans="1:33" ht="15" customHeight="1" thickTop="1">
      <c r="A41" s="133"/>
      <c r="B41" s="121"/>
      <c r="C41" s="77" t="s">
        <v>72</v>
      </c>
      <c r="D41" s="90"/>
      <c r="E41" s="129"/>
      <c r="F41" s="90"/>
      <c r="G41" s="129"/>
      <c r="H41" s="108"/>
      <c r="I41" s="88"/>
      <c r="J41" s="883">
        <f>48/48*J26</f>
        <v>48</v>
      </c>
      <c r="K41" s="129">
        <f>J41/J26*K26</f>
        <v>48</v>
      </c>
      <c r="L41" s="88"/>
      <c r="M41" s="88"/>
      <c r="N41" s="131">
        <v>1.8</v>
      </c>
      <c r="O41" s="88"/>
      <c r="P41" s="500">
        <f>5/160*P26</f>
        <v>5</v>
      </c>
      <c r="Q41" s="129">
        <f>P41/P26*Q26</f>
        <v>5</v>
      </c>
      <c r="R41" s="129"/>
      <c r="S41" s="88"/>
      <c r="T41" s="88"/>
      <c r="U41" s="88"/>
      <c r="V41" s="890"/>
      <c r="W41" s="129"/>
      <c r="X41" s="88"/>
      <c r="Y41" s="88"/>
      <c r="Z41" s="125"/>
      <c r="AA41" s="123"/>
      <c r="AB41" s="7"/>
      <c r="AC41" s="224"/>
      <c r="AD41" s="7"/>
      <c r="AE41" s="7"/>
      <c r="AF41" s="7"/>
      <c r="AG41" s="7"/>
    </row>
    <row r="42" spans="1:33" ht="15.75" customHeight="1" thickBot="1">
      <c r="A42" s="346" t="s">
        <v>214</v>
      </c>
      <c r="B42" s="347">
        <v>10</v>
      </c>
      <c r="C42" s="348" t="s">
        <v>74</v>
      </c>
      <c r="D42" s="363"/>
      <c r="E42" s="341"/>
      <c r="F42" s="363"/>
      <c r="G42" s="350"/>
      <c r="H42" s="349"/>
      <c r="I42" s="350"/>
      <c r="J42" s="534">
        <f>ROUND(J41*J25/1000/0.048,0)</f>
        <v>100</v>
      </c>
      <c r="K42" s="470">
        <f>J42</f>
        <v>100</v>
      </c>
      <c r="L42" s="350"/>
      <c r="M42" s="350"/>
      <c r="N42" s="470">
        <f>ROUND(N41*B25/1000/0.048,0)</f>
        <v>4</v>
      </c>
      <c r="O42" s="350"/>
      <c r="P42" s="530">
        <f>ROUND(P41*P25/48,0)</f>
        <v>10</v>
      </c>
      <c r="Q42" s="470">
        <f>P42</f>
        <v>10</v>
      </c>
      <c r="R42" s="350"/>
      <c r="S42" s="350"/>
      <c r="T42" s="350"/>
      <c r="U42" s="350"/>
      <c r="V42" s="363"/>
      <c r="W42" s="470"/>
      <c r="X42" s="350"/>
      <c r="Y42" s="350"/>
      <c r="Z42" s="343">
        <f>ROUND(E42+G42+I42+K42+L42+M42+N42+O42+Q42+R42+S42+T42+U42+W42+X42+Y42,2)</f>
        <v>114</v>
      </c>
      <c r="AA42" s="344">
        <f>Z42*B42</f>
        <v>1140</v>
      </c>
      <c r="AB42" s="7"/>
      <c r="AC42" s="475">
        <f t="shared" si="3"/>
        <v>227</v>
      </c>
      <c r="AD42" s="7" t="str">
        <f>A42</f>
        <v xml:space="preserve">Яйцо </v>
      </c>
      <c r="AE42" s="7"/>
      <c r="AF42" s="7"/>
      <c r="AG42" s="7"/>
    </row>
    <row r="43" spans="1:33" ht="15" customHeight="1" thickTop="1">
      <c r="A43" s="133"/>
      <c r="B43" s="121"/>
      <c r="C43" s="77" t="s">
        <v>72</v>
      </c>
      <c r="D43" s="287"/>
      <c r="E43" s="88"/>
      <c r="F43" s="90">
        <v>30</v>
      </c>
      <c r="G43" s="129">
        <f>F43/F26*G26</f>
        <v>30</v>
      </c>
      <c r="H43" s="108"/>
      <c r="I43" s="88"/>
      <c r="J43" s="108"/>
      <c r="K43" s="88"/>
      <c r="L43" s="88"/>
      <c r="M43" s="88"/>
      <c r="N43" s="88"/>
      <c r="O43" s="88"/>
      <c r="P43" s="108"/>
      <c r="Q43" s="88"/>
      <c r="R43" s="88"/>
      <c r="S43" s="88"/>
      <c r="T43" s="88"/>
      <c r="U43" s="88"/>
      <c r="V43" s="591"/>
      <c r="W43" s="88"/>
      <c r="X43" s="88"/>
      <c r="Y43" s="88"/>
      <c r="Z43" s="125"/>
      <c r="AA43" s="123"/>
      <c r="AB43" s="7"/>
      <c r="AC43" s="224"/>
      <c r="AD43" s="7"/>
      <c r="AE43" s="7"/>
      <c r="AF43" s="7"/>
      <c r="AG43" s="7"/>
    </row>
    <row r="44" spans="1:33" ht="15.75" customHeight="1" thickBot="1">
      <c r="A44" s="346" t="s">
        <v>25</v>
      </c>
      <c r="B44" s="347">
        <v>40.08</v>
      </c>
      <c r="C44" s="348" t="s">
        <v>73</v>
      </c>
      <c r="D44" s="385"/>
      <c r="E44" s="350"/>
      <c r="F44" s="363">
        <f>F43*F25/1000</f>
        <v>3</v>
      </c>
      <c r="G44" s="341">
        <f>F44</f>
        <v>3</v>
      </c>
      <c r="H44" s="349"/>
      <c r="I44" s="350"/>
      <c r="J44" s="349"/>
      <c r="K44" s="350"/>
      <c r="L44" s="350"/>
      <c r="M44" s="350"/>
      <c r="N44" s="350"/>
      <c r="O44" s="350"/>
      <c r="P44" s="349"/>
      <c r="Q44" s="350"/>
      <c r="R44" s="350"/>
      <c r="S44" s="350"/>
      <c r="T44" s="350"/>
      <c r="U44" s="350"/>
      <c r="V44" s="360"/>
      <c r="W44" s="350"/>
      <c r="X44" s="350"/>
      <c r="Y44" s="350"/>
      <c r="Z44" s="343">
        <f>ROUND(E44+G44+I44+K44+L44+M44+N44+O44+Q44+R44+S44+T44+U44+W44+X44+Y44,2)</f>
        <v>3</v>
      </c>
      <c r="AA44" s="344">
        <f>Z44*B44</f>
        <v>120.24</v>
      </c>
      <c r="AB44" s="7"/>
      <c r="AC44" s="223">
        <f t="shared" si="3"/>
        <v>6</v>
      </c>
      <c r="AD44" s="7" t="str">
        <f>A44</f>
        <v>Пшено</v>
      </c>
      <c r="AE44" s="7"/>
      <c r="AF44" s="7"/>
      <c r="AG44" s="7"/>
    </row>
    <row r="45" spans="1:33" ht="15" customHeight="1" thickTop="1">
      <c r="A45" s="133"/>
      <c r="B45" s="121"/>
      <c r="C45" s="77" t="s">
        <v>72</v>
      </c>
      <c r="D45" s="305"/>
      <c r="E45" s="88"/>
      <c r="F45" s="90">
        <v>3</v>
      </c>
      <c r="G45" s="129">
        <f>F45/F26*G26</f>
        <v>3</v>
      </c>
      <c r="H45" s="108">
        <v>7</v>
      </c>
      <c r="I45" s="129">
        <f>H45/H26*I26</f>
        <v>7</v>
      </c>
      <c r="J45" s="108"/>
      <c r="K45" s="88"/>
      <c r="L45" s="88"/>
      <c r="M45" s="88"/>
      <c r="N45" s="88"/>
      <c r="O45" s="131"/>
      <c r="P45" s="108"/>
      <c r="Q45" s="88"/>
      <c r="R45" s="88"/>
      <c r="S45" s="131">
        <v>10</v>
      </c>
      <c r="T45" s="88"/>
      <c r="U45" s="131">
        <v>2.5</v>
      </c>
      <c r="V45" s="497"/>
      <c r="W45" s="129"/>
      <c r="X45" s="131">
        <v>7</v>
      </c>
      <c r="Y45" s="88"/>
      <c r="Z45" s="125"/>
      <c r="AA45" s="123"/>
      <c r="AB45" s="7"/>
      <c r="AC45" s="224"/>
      <c r="AD45" s="7"/>
      <c r="AE45" s="7"/>
      <c r="AF45" s="7"/>
      <c r="AG45" s="7"/>
    </row>
    <row r="46" spans="1:33" ht="16.5" customHeight="1" thickBot="1">
      <c r="A46" s="346" t="s">
        <v>77</v>
      </c>
      <c r="B46" s="347">
        <v>62.77</v>
      </c>
      <c r="C46" s="348" t="s">
        <v>73</v>
      </c>
      <c r="D46" s="385"/>
      <c r="E46" s="350"/>
      <c r="F46" s="363">
        <f>F45*F25/1000</f>
        <v>0.3</v>
      </c>
      <c r="G46" s="341">
        <f>F46</f>
        <v>0.3</v>
      </c>
      <c r="H46" s="349">
        <f>H45*H25/1000</f>
        <v>0.7</v>
      </c>
      <c r="I46" s="341">
        <f>H46</f>
        <v>0.7</v>
      </c>
      <c r="J46" s="349"/>
      <c r="K46" s="350"/>
      <c r="L46" s="350"/>
      <c r="M46" s="350"/>
      <c r="N46" s="350"/>
      <c r="O46" s="341"/>
      <c r="P46" s="349"/>
      <c r="Q46" s="350"/>
      <c r="R46" s="350"/>
      <c r="S46" s="341">
        <f>S45*B25/1000</f>
        <v>1</v>
      </c>
      <c r="T46" s="350"/>
      <c r="U46" s="372">
        <f>U45*B25/1000</f>
        <v>0.25</v>
      </c>
      <c r="V46" s="349"/>
      <c r="W46" s="341"/>
      <c r="X46" s="341">
        <f>X45*B25/1000</f>
        <v>0.7</v>
      </c>
      <c r="Y46" s="350"/>
      <c r="Z46" s="343">
        <f>ROUND(E46+G46+I46+K46+L46+M46+N46+O46+Q46+R46+S46+T46+U46+W46+X46+Y46,2)</f>
        <v>2.95</v>
      </c>
      <c r="AA46" s="344">
        <f>Z46*B46</f>
        <v>185.17150000000001</v>
      </c>
      <c r="AB46" s="7"/>
      <c r="AC46" s="223">
        <f t="shared" si="3"/>
        <v>5.4</v>
      </c>
      <c r="AD46" s="7" t="str">
        <f>A46</f>
        <v>Сахар</v>
      </c>
      <c r="AE46" s="7"/>
      <c r="AF46" s="7"/>
      <c r="AG46" s="7"/>
    </row>
    <row r="47" spans="1:33" ht="15" customHeight="1" thickTop="1">
      <c r="A47" s="133"/>
      <c r="B47" s="121"/>
      <c r="C47" s="77" t="s">
        <v>72</v>
      </c>
      <c r="D47" s="287"/>
      <c r="E47" s="88"/>
      <c r="F47" s="90"/>
      <c r="G47" s="88"/>
      <c r="H47" s="108"/>
      <c r="I47" s="88"/>
      <c r="J47" s="108"/>
      <c r="K47" s="88"/>
      <c r="L47" s="88"/>
      <c r="M47" s="88"/>
      <c r="N47" s="88"/>
      <c r="O47" s="88"/>
      <c r="P47" s="108"/>
      <c r="Q47" s="88"/>
      <c r="R47" s="88"/>
      <c r="S47" s="131">
        <v>41</v>
      </c>
      <c r="T47" s="88"/>
      <c r="U47" s="88"/>
      <c r="V47" s="891"/>
      <c r="W47" s="244"/>
      <c r="X47" s="88"/>
      <c r="Y47" s="88"/>
      <c r="Z47" s="125"/>
      <c r="AA47" s="123"/>
      <c r="AB47" s="7"/>
      <c r="AC47" s="224"/>
      <c r="AD47" s="7"/>
      <c r="AE47" s="7"/>
      <c r="AF47" s="7"/>
      <c r="AG47" s="7"/>
    </row>
    <row r="48" spans="1:33" ht="15.75" customHeight="1" thickBot="1">
      <c r="A48" s="346" t="s">
        <v>249</v>
      </c>
      <c r="B48" s="347">
        <v>100</v>
      </c>
      <c r="C48" s="348" t="s">
        <v>73</v>
      </c>
      <c r="D48" s="385"/>
      <c r="E48" s="350"/>
      <c r="F48" s="363"/>
      <c r="G48" s="350"/>
      <c r="H48" s="349"/>
      <c r="I48" s="350"/>
      <c r="J48" s="349"/>
      <c r="K48" s="350"/>
      <c r="L48" s="350"/>
      <c r="M48" s="350"/>
      <c r="N48" s="350"/>
      <c r="O48" s="350"/>
      <c r="P48" s="349"/>
      <c r="Q48" s="350"/>
      <c r="R48" s="350"/>
      <c r="S48" s="341">
        <f>S47*B25/1000</f>
        <v>4.0999999999999996</v>
      </c>
      <c r="T48" s="350"/>
      <c r="U48" s="350"/>
      <c r="V48" s="360"/>
      <c r="W48" s="350"/>
      <c r="X48" s="350"/>
      <c r="Y48" s="350"/>
      <c r="Z48" s="343">
        <f>ROUND(E48+G48+I48+K48+L48+M48+N48+O48+Q48+R48+S48+T48+U48+W48+X48+Y48,2)</f>
        <v>4.0999999999999996</v>
      </c>
      <c r="AA48" s="344">
        <f>Z48*B48</f>
        <v>409.99999999999994</v>
      </c>
      <c r="AB48" s="7"/>
      <c r="AC48" s="223">
        <f t="shared" si="3"/>
        <v>7.5</v>
      </c>
      <c r="AD48" s="7" t="str">
        <f>A48</f>
        <v>Яблоки свежие</v>
      </c>
      <c r="AE48" s="7"/>
      <c r="AF48" s="7"/>
      <c r="AG48" s="7"/>
    </row>
    <row r="49" spans="1:33" ht="12.75" customHeight="1" thickTop="1">
      <c r="A49" s="133"/>
      <c r="B49" s="102"/>
      <c r="C49" s="77" t="s">
        <v>72</v>
      </c>
      <c r="D49" s="287"/>
      <c r="E49" s="104"/>
      <c r="F49" s="103"/>
      <c r="G49" s="104"/>
      <c r="H49" s="108"/>
      <c r="I49" s="104"/>
      <c r="J49" s="108"/>
      <c r="K49" s="104"/>
      <c r="L49" s="104"/>
      <c r="M49" s="114">
        <f>M50/B25*1000</f>
        <v>100</v>
      </c>
      <c r="N49" s="104"/>
      <c r="O49" s="104"/>
      <c r="P49" s="108"/>
      <c r="Q49" s="104"/>
      <c r="R49" s="104"/>
      <c r="S49" s="104"/>
      <c r="T49" s="104"/>
      <c r="U49" s="114"/>
      <c r="V49" s="693"/>
      <c r="W49" s="104"/>
      <c r="X49" s="104"/>
      <c r="Y49" s="104"/>
      <c r="Z49" s="125"/>
      <c r="AA49" s="123"/>
      <c r="AB49" s="7"/>
      <c r="AC49" s="224"/>
      <c r="AD49" s="7"/>
      <c r="AE49" s="7"/>
      <c r="AF49" s="7"/>
      <c r="AG49" s="7"/>
    </row>
    <row r="50" spans="1:33" ht="15" customHeight="1" thickBot="1">
      <c r="A50" s="346" t="s">
        <v>121</v>
      </c>
      <c r="B50" s="347">
        <v>100</v>
      </c>
      <c r="C50" s="348" t="s">
        <v>73</v>
      </c>
      <c r="D50" s="385"/>
      <c r="E50" s="350"/>
      <c r="F50" s="363"/>
      <c r="G50" s="350"/>
      <c r="H50" s="349"/>
      <c r="I50" s="350"/>
      <c r="J50" s="349"/>
      <c r="K50" s="350"/>
      <c r="L50" s="350"/>
      <c r="M50" s="342">
        <v>10</v>
      </c>
      <c r="N50" s="350"/>
      <c r="O50" s="350"/>
      <c r="P50" s="349"/>
      <c r="Q50" s="350"/>
      <c r="R50" s="350"/>
      <c r="S50" s="350"/>
      <c r="T50" s="350"/>
      <c r="U50" s="342"/>
      <c r="V50" s="360"/>
      <c r="W50" s="350"/>
      <c r="X50" s="350"/>
      <c r="Y50" s="350"/>
      <c r="Z50" s="343">
        <f>ROUND(E50+G50+I50+K50+L50+M50+N50+O50+Q50+R50+S50+T50+U50+W50+X50+Y50,2)</f>
        <v>10</v>
      </c>
      <c r="AA50" s="344">
        <f>Z50*B50</f>
        <v>1000</v>
      </c>
      <c r="AB50" s="7"/>
      <c r="AC50" s="226">
        <f t="shared" si="3"/>
        <v>20</v>
      </c>
      <c r="AD50" s="7" t="str">
        <f>A50</f>
        <v>Фрукт?</v>
      </c>
      <c r="AE50" s="7"/>
      <c r="AF50" s="7"/>
      <c r="AG50" s="7"/>
    </row>
    <row r="51" spans="1:33" ht="1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18" t="s">
        <v>71</v>
      </c>
      <c r="AC51" s="227"/>
    </row>
    <row r="52" spans="1:33" ht="12" customHeight="1">
      <c r="A52" s="26" t="s">
        <v>53</v>
      </c>
      <c r="B52" s="20"/>
      <c r="C52" s="65"/>
      <c r="D52" s="65"/>
      <c r="E52" s="14"/>
      <c r="F52" s="14"/>
      <c r="G52" s="14"/>
      <c r="H52" s="14"/>
      <c r="I52" s="14"/>
      <c r="J52" s="14"/>
      <c r="K52" s="14"/>
      <c r="L52" s="14"/>
      <c r="M52" s="14"/>
      <c r="N52" s="28" t="s">
        <v>41</v>
      </c>
      <c r="O52" s="14"/>
      <c r="P52" s="14"/>
      <c r="Q52" s="14"/>
      <c r="R52" s="14"/>
      <c r="S52" s="28" t="s">
        <v>11</v>
      </c>
      <c r="T52" s="28"/>
      <c r="U52" s="14"/>
      <c r="V52" s="14"/>
      <c r="W52" s="14"/>
      <c r="X52" s="14"/>
      <c r="Y52" s="22"/>
      <c r="Z52" s="1047" t="s">
        <v>8</v>
      </c>
      <c r="AA52" s="1048"/>
      <c r="AB52" s="7"/>
      <c r="AC52" s="228"/>
      <c r="AD52" s="7"/>
      <c r="AE52" s="7"/>
      <c r="AF52" s="7"/>
      <c r="AG52" s="7"/>
    </row>
    <row r="53" spans="1:33" ht="12" customHeight="1">
      <c r="A53" s="800"/>
      <c r="B53" s="19"/>
      <c r="C53" s="5" t="s">
        <v>52</v>
      </c>
      <c r="D53" s="787"/>
      <c r="E53" s="1052"/>
      <c r="F53" s="1052"/>
      <c r="G53" s="1052"/>
      <c r="H53" s="1052"/>
      <c r="I53" s="1052"/>
      <c r="J53" s="1052"/>
      <c r="K53" s="1053"/>
      <c r="L53" s="789" t="s">
        <v>69</v>
      </c>
      <c r="M53" s="789"/>
      <c r="N53" s="1052"/>
      <c r="O53" s="1052"/>
      <c r="P53" s="1052"/>
      <c r="Q53" s="1052"/>
      <c r="R53" s="1052"/>
      <c r="S53" s="1052"/>
      <c r="T53" s="1053"/>
      <c r="U53" s="1056" t="s">
        <v>17</v>
      </c>
      <c r="V53" s="1052"/>
      <c r="W53" s="1052"/>
      <c r="X53" s="1052"/>
      <c r="Y53" s="1052"/>
      <c r="Z53" s="1058" t="s">
        <v>3</v>
      </c>
      <c r="AA53" s="1059"/>
      <c r="AB53" s="7"/>
      <c r="AC53" s="228"/>
      <c r="AD53" s="7"/>
      <c r="AE53" s="7"/>
      <c r="AF53" s="7"/>
      <c r="AG53" s="7"/>
    </row>
    <row r="54" spans="1:33" ht="10.5" customHeight="1">
      <c r="A54" s="799"/>
      <c r="B54" s="5"/>
      <c r="C54" s="5" t="s">
        <v>51</v>
      </c>
      <c r="D54" s="798"/>
      <c r="E54" s="1054"/>
      <c r="F54" s="1054"/>
      <c r="G54" s="1054"/>
      <c r="H54" s="1054"/>
      <c r="I54" s="1054"/>
      <c r="J54" s="1054"/>
      <c r="K54" s="1055"/>
      <c r="L54" s="791"/>
      <c r="M54" s="791"/>
      <c r="N54" s="1054"/>
      <c r="O54" s="1054"/>
      <c r="P54" s="1054"/>
      <c r="Q54" s="1054"/>
      <c r="R54" s="1054"/>
      <c r="S54" s="1054"/>
      <c r="T54" s="1055"/>
      <c r="U54" s="1057"/>
      <c r="V54" s="1054"/>
      <c r="W54" s="1054"/>
      <c r="X54" s="1054"/>
      <c r="Y54" s="1054"/>
      <c r="Z54" s="1047" t="s">
        <v>36</v>
      </c>
      <c r="AA54" s="1048"/>
      <c r="AB54" s="8"/>
      <c r="AC54" s="228"/>
      <c r="AD54" s="7"/>
      <c r="AE54" s="7"/>
      <c r="AF54" s="7"/>
      <c r="AG54" s="7"/>
    </row>
    <row r="55" spans="1:33" ht="10.5" customHeight="1">
      <c r="A55" s="799" t="s">
        <v>54</v>
      </c>
      <c r="B55" s="5" t="s">
        <v>65</v>
      </c>
      <c r="C55" s="5" t="s">
        <v>9</v>
      </c>
      <c r="D55" s="1078" t="str">
        <f>D21</f>
        <v>Бутерб. с маслом сл.</v>
      </c>
      <c r="E55" s="1038" t="str">
        <f>E21</f>
        <v xml:space="preserve">  5. /20</v>
      </c>
      <c r="F55" s="1035" t="str">
        <f>F21</f>
        <v>Каша пшенн. молочная</v>
      </c>
      <c r="G55" s="1038"/>
      <c r="H55" s="1041" t="str">
        <f>H21</f>
        <v>Кофейный напит.</v>
      </c>
      <c r="I55" s="1038"/>
      <c r="J55" s="1041" t="str">
        <f>J21</f>
        <v>Яйцо вареное</v>
      </c>
      <c r="K55" s="1038"/>
      <c r="L55" s="1041" t="str">
        <f t="shared" ref="L55:P55" si="4">L21</f>
        <v>Батон витаминиз.</v>
      </c>
      <c r="M55" s="1041" t="str">
        <f t="shared" si="4"/>
        <v>Фрукты порц.</v>
      </c>
      <c r="N55" s="1035" t="str">
        <f t="shared" si="4"/>
        <v>Суп карт. с клецками</v>
      </c>
      <c r="O55" s="1038" t="str">
        <f t="shared" si="4"/>
        <v xml:space="preserve"> Мясо цыплят  в суп</v>
      </c>
      <c r="P55" s="1035" t="str">
        <f t="shared" si="4"/>
        <v>Голубцы ленивые</v>
      </c>
      <c r="Q55" s="1038"/>
      <c r="R55" s="1044" t="str">
        <f>R21</f>
        <v>Соус для голубцов</v>
      </c>
      <c r="S55" s="1041" t="str">
        <f>S21</f>
        <v>Компот из св. яблок</v>
      </c>
      <c r="T55" s="1044" t="s">
        <v>68</v>
      </c>
      <c r="U55" s="1044" t="str">
        <f>U21</f>
        <v>Салат из свеж. капусты</v>
      </c>
      <c r="V55" s="1035" t="str">
        <f>V21</f>
        <v>Жаркое по-домашнему</v>
      </c>
      <c r="W55" s="1096"/>
      <c r="X55" s="1044" t="str">
        <f>X21</f>
        <v>Чай с лимоном</v>
      </c>
      <c r="Y55" s="1038" t="str">
        <f>Y21</f>
        <v>Хлеб йодирован. пшен.</v>
      </c>
      <c r="Z55" s="24"/>
      <c r="AA55" s="802"/>
      <c r="AB55" s="7"/>
      <c r="AC55" s="228"/>
      <c r="AD55" s="7"/>
      <c r="AE55" s="7"/>
      <c r="AF55" s="7"/>
      <c r="AG55" s="7"/>
    </row>
    <row r="56" spans="1:33" ht="10.5" customHeight="1">
      <c r="A56" s="799"/>
      <c r="B56" s="5"/>
      <c r="C56" s="5" t="s">
        <v>10</v>
      </c>
      <c r="D56" s="1079"/>
      <c r="E56" s="1039"/>
      <c r="F56" s="1036"/>
      <c r="G56" s="1039"/>
      <c r="H56" s="1042"/>
      <c r="I56" s="1039"/>
      <c r="J56" s="1042"/>
      <c r="K56" s="1039"/>
      <c r="L56" s="1042"/>
      <c r="M56" s="1042"/>
      <c r="N56" s="1036"/>
      <c r="O56" s="1039"/>
      <c r="P56" s="1036"/>
      <c r="Q56" s="1039"/>
      <c r="R56" s="1130"/>
      <c r="S56" s="1042"/>
      <c r="T56" s="1045"/>
      <c r="U56" s="1045"/>
      <c r="V56" s="1225"/>
      <c r="W56" s="1098"/>
      <c r="X56" s="1045"/>
      <c r="Y56" s="1039"/>
      <c r="Z56" s="19" t="s">
        <v>6</v>
      </c>
      <c r="AA56" s="798" t="s">
        <v>4</v>
      </c>
      <c r="AB56" s="7"/>
      <c r="AC56" s="228"/>
      <c r="AD56" s="7"/>
      <c r="AE56" s="7"/>
      <c r="AF56" s="7"/>
      <c r="AG56" s="7"/>
    </row>
    <row r="57" spans="1:33" ht="10.5" customHeight="1">
      <c r="A57" s="796"/>
      <c r="B57" s="4"/>
      <c r="C57" s="4"/>
      <c r="D57" s="1080"/>
      <c r="E57" s="1040"/>
      <c r="F57" s="1037"/>
      <c r="G57" s="1040"/>
      <c r="H57" s="1043"/>
      <c r="I57" s="1040"/>
      <c r="J57" s="1043"/>
      <c r="K57" s="1040"/>
      <c r="L57" s="1043"/>
      <c r="M57" s="1043"/>
      <c r="N57" s="1037"/>
      <c r="O57" s="1040"/>
      <c r="P57" s="1037"/>
      <c r="Q57" s="1040"/>
      <c r="R57" s="1217"/>
      <c r="S57" s="1043"/>
      <c r="T57" s="1046"/>
      <c r="U57" s="1046"/>
      <c r="V57" s="1122"/>
      <c r="W57" s="1100"/>
      <c r="X57" s="1046"/>
      <c r="Y57" s="1040"/>
      <c r="Z57" s="4" t="s">
        <v>7</v>
      </c>
      <c r="AA57" s="793" t="s">
        <v>5</v>
      </c>
      <c r="AB57" s="7"/>
      <c r="AC57" s="228"/>
      <c r="AD57" s="7"/>
      <c r="AE57" s="7"/>
      <c r="AF57" s="7"/>
      <c r="AG57" s="7"/>
    </row>
    <row r="58" spans="1:33" ht="11.25" customHeight="1" thickBot="1">
      <c r="A58" s="64">
        <v>1</v>
      </c>
      <c r="B58" s="867">
        <v>2</v>
      </c>
      <c r="C58" s="72">
        <v>3</v>
      </c>
      <c r="D58" s="86">
        <v>4</v>
      </c>
      <c r="E58" s="80">
        <v>5</v>
      </c>
      <c r="F58" s="86">
        <v>6</v>
      </c>
      <c r="G58" s="865">
        <v>7</v>
      </c>
      <c r="H58" s="87">
        <v>8</v>
      </c>
      <c r="I58" s="80">
        <v>9</v>
      </c>
      <c r="J58" s="82">
        <v>10</v>
      </c>
      <c r="K58" s="95">
        <v>11</v>
      </c>
      <c r="L58" s="96">
        <v>12</v>
      </c>
      <c r="M58" s="96">
        <v>13</v>
      </c>
      <c r="N58" s="871">
        <v>14</v>
      </c>
      <c r="O58" s="680">
        <v>15</v>
      </c>
      <c r="P58" s="872">
        <v>16</v>
      </c>
      <c r="Q58" s="873">
        <v>17</v>
      </c>
      <c r="R58" s="81">
        <v>18</v>
      </c>
      <c r="S58" s="874">
        <v>19</v>
      </c>
      <c r="T58" s="98">
        <v>20</v>
      </c>
      <c r="U58" s="80">
        <v>21</v>
      </c>
      <c r="V58" s="868">
        <v>22</v>
      </c>
      <c r="W58" s="95">
        <v>23</v>
      </c>
      <c r="X58" s="81">
        <v>24</v>
      </c>
      <c r="Y58" s="96">
        <v>25</v>
      </c>
      <c r="Z58" s="35">
        <v>26</v>
      </c>
      <c r="AA58" s="864">
        <v>27</v>
      </c>
      <c r="AB58" s="7"/>
      <c r="AC58" s="228"/>
      <c r="AD58" s="7"/>
      <c r="AE58" s="7"/>
      <c r="AF58" s="7"/>
      <c r="AG58" s="7"/>
    </row>
    <row r="59" spans="1:33" ht="18" customHeight="1" thickTop="1">
      <c r="A59" s="135"/>
      <c r="B59" s="13"/>
      <c r="C59" s="77" t="s">
        <v>72</v>
      </c>
      <c r="D59" s="297"/>
      <c r="E59" s="277"/>
      <c r="F59" s="109"/>
      <c r="G59" s="94"/>
      <c r="H59" s="109"/>
      <c r="I59" s="94"/>
      <c r="J59" s="109"/>
      <c r="K59" s="94"/>
      <c r="L59" s="94"/>
      <c r="M59" s="94"/>
      <c r="N59" s="130">
        <v>55.4</v>
      </c>
      <c r="O59" s="130"/>
      <c r="P59" s="884"/>
      <c r="Q59" s="181"/>
      <c r="R59" s="181"/>
      <c r="S59" s="94"/>
      <c r="T59" s="94"/>
      <c r="U59" s="130"/>
      <c r="V59" s="497">
        <f>129/100*V26</f>
        <v>129</v>
      </c>
      <c r="W59" s="129">
        <f>V59/V26*W26</f>
        <v>129</v>
      </c>
      <c r="X59" s="94"/>
      <c r="Y59" s="94"/>
      <c r="Z59" s="117"/>
      <c r="AA59" s="116"/>
      <c r="AB59" s="7"/>
      <c r="AC59" s="228"/>
      <c r="AD59" s="7"/>
      <c r="AE59" s="7"/>
      <c r="AF59" s="7"/>
    </row>
    <row r="60" spans="1:33" ht="18" customHeight="1" thickBot="1">
      <c r="A60" s="346" t="s">
        <v>26</v>
      </c>
      <c r="B60" s="347">
        <v>28</v>
      </c>
      <c r="C60" s="348" t="s">
        <v>73</v>
      </c>
      <c r="D60" s="387"/>
      <c r="E60" s="353"/>
      <c r="F60" s="338"/>
      <c r="G60" s="337"/>
      <c r="H60" s="338"/>
      <c r="I60" s="337"/>
      <c r="J60" s="338"/>
      <c r="K60" s="337"/>
      <c r="L60" s="337"/>
      <c r="M60" s="337"/>
      <c r="N60" s="339">
        <f>N59*B25/1000</f>
        <v>5.54</v>
      </c>
      <c r="O60" s="340"/>
      <c r="P60" s="338"/>
      <c r="Q60" s="339"/>
      <c r="R60" s="340"/>
      <c r="S60" s="337"/>
      <c r="T60" s="337"/>
      <c r="U60" s="886"/>
      <c r="V60" s="363">
        <f>V59*V25/1000</f>
        <v>12.9</v>
      </c>
      <c r="W60" s="341">
        <f>V60</f>
        <v>12.9</v>
      </c>
      <c r="X60" s="337"/>
      <c r="Y60" s="337"/>
      <c r="Z60" s="343">
        <f>ROUND(E60+G60+I60+K60+L60+M60+N60+O60+Q60+R60+S60+T60+U60+W60+X60+Y60,2)</f>
        <v>18.440000000000001</v>
      </c>
      <c r="AA60" s="344">
        <f>Z60*B60</f>
        <v>516.32000000000005</v>
      </c>
      <c r="AB60" s="7"/>
      <c r="AC60" s="223">
        <f t="shared" ref="AC60:AC68" si="5">Z60+Z155</f>
        <v>36.269999999999996</v>
      </c>
      <c r="AD60" s="7" t="str">
        <f>A60</f>
        <v>Картофель</v>
      </c>
      <c r="AE60" s="7"/>
      <c r="AF60" s="7"/>
    </row>
    <row r="61" spans="1:33" ht="18" customHeight="1" thickTop="1">
      <c r="A61" s="133"/>
      <c r="B61" s="122"/>
      <c r="C61" s="77" t="s">
        <v>72</v>
      </c>
      <c r="D61" s="78"/>
      <c r="E61" s="268"/>
      <c r="F61" s="112"/>
      <c r="G61" s="106"/>
      <c r="H61" s="112"/>
      <c r="I61" s="106"/>
      <c r="J61" s="112"/>
      <c r="K61" s="106"/>
      <c r="L61" s="106"/>
      <c r="M61" s="106"/>
      <c r="N61" s="127"/>
      <c r="O61" s="130"/>
      <c r="P61" s="884">
        <f>121/160*P26</f>
        <v>121</v>
      </c>
      <c r="Q61" s="181">
        <f>P61/P26*Q26</f>
        <v>121</v>
      </c>
      <c r="R61" s="106"/>
      <c r="S61" s="106"/>
      <c r="T61" s="106"/>
      <c r="U61" s="568">
        <v>49.3</v>
      </c>
      <c r="V61" s="497"/>
      <c r="W61" s="498"/>
      <c r="X61" s="106"/>
      <c r="Y61" s="106"/>
      <c r="Z61" s="125"/>
      <c r="AA61" s="123"/>
      <c r="AB61" s="7"/>
      <c r="AC61" s="224"/>
      <c r="AD61" s="7"/>
      <c r="AE61" s="7"/>
      <c r="AF61" s="7"/>
    </row>
    <row r="62" spans="1:33" ht="18" customHeight="1" thickBot="1">
      <c r="A62" s="346" t="s">
        <v>125</v>
      </c>
      <c r="B62" s="347">
        <v>30</v>
      </c>
      <c r="C62" s="348" t="s">
        <v>73</v>
      </c>
      <c r="D62" s="387"/>
      <c r="E62" s="353"/>
      <c r="F62" s="338"/>
      <c r="G62" s="337"/>
      <c r="H62" s="338"/>
      <c r="I62" s="337"/>
      <c r="J62" s="338"/>
      <c r="K62" s="337"/>
      <c r="L62" s="337"/>
      <c r="M62" s="337"/>
      <c r="N62" s="340"/>
      <c r="O62" s="339"/>
      <c r="P62" s="338">
        <f>P61*P25/1000</f>
        <v>12.1</v>
      </c>
      <c r="Q62" s="339">
        <f>P62</f>
        <v>12.1</v>
      </c>
      <c r="R62" s="337"/>
      <c r="S62" s="337"/>
      <c r="T62" s="337"/>
      <c r="U62" s="372">
        <f>U61*B25/1000</f>
        <v>4.93</v>
      </c>
      <c r="V62" s="363"/>
      <c r="W62" s="350"/>
      <c r="X62" s="337"/>
      <c r="Y62" s="337"/>
      <c r="Z62" s="343">
        <f>ROUND(E62+G62+I62+K62+L62+M62+N62+O62+Q62+R62+S62+T62+U62+W62+X62+Y62,2)</f>
        <v>17.03</v>
      </c>
      <c r="AA62" s="344">
        <f>Z62*B62</f>
        <v>510.90000000000003</v>
      </c>
      <c r="AB62" s="7"/>
      <c r="AC62" s="223">
        <f t="shared" si="5"/>
        <v>30.490000000000002</v>
      </c>
      <c r="AD62" s="7" t="str">
        <f>A62</f>
        <v xml:space="preserve">Капуста св. б/к </v>
      </c>
      <c r="AE62" s="7"/>
      <c r="AF62" s="7"/>
    </row>
    <row r="63" spans="1:33" ht="18" customHeight="1" thickTop="1">
      <c r="A63" s="133"/>
      <c r="B63" s="122"/>
      <c r="C63" s="77" t="s">
        <v>72</v>
      </c>
      <c r="D63" s="78"/>
      <c r="E63" s="268"/>
      <c r="F63" s="112"/>
      <c r="G63" s="106"/>
      <c r="H63" s="112"/>
      <c r="I63" s="106"/>
      <c r="J63" s="112"/>
      <c r="K63" s="106"/>
      <c r="L63" s="106"/>
      <c r="M63" s="106"/>
      <c r="N63" s="127">
        <v>8.6</v>
      </c>
      <c r="O63" s="250"/>
      <c r="P63" s="884">
        <f>16.7/160*P26</f>
        <v>16.7</v>
      </c>
      <c r="Q63" s="129">
        <f>P63/P26*Q26</f>
        <v>16.7</v>
      </c>
      <c r="R63" s="129"/>
      <c r="S63" s="106"/>
      <c r="T63" s="106"/>
      <c r="U63" s="250"/>
      <c r="V63" s="497">
        <f>8.4/100*V26</f>
        <v>8.4</v>
      </c>
      <c r="W63" s="129">
        <f>V63/V26*W26</f>
        <v>8.4</v>
      </c>
      <c r="X63" s="106"/>
      <c r="Y63" s="106"/>
      <c r="Z63" s="125"/>
      <c r="AA63" s="124"/>
      <c r="AB63" s="7"/>
      <c r="AC63" s="224"/>
      <c r="AD63" s="7"/>
      <c r="AE63" s="7"/>
      <c r="AF63" s="7"/>
      <c r="AG63" s="7"/>
    </row>
    <row r="64" spans="1:33" ht="18" customHeight="1" thickBot="1">
      <c r="A64" s="346" t="s">
        <v>27</v>
      </c>
      <c r="B64" s="347">
        <v>37</v>
      </c>
      <c r="C64" s="348" t="s">
        <v>73</v>
      </c>
      <c r="D64" s="387"/>
      <c r="E64" s="353"/>
      <c r="F64" s="338"/>
      <c r="G64" s="337"/>
      <c r="H64" s="338"/>
      <c r="I64" s="337"/>
      <c r="J64" s="338"/>
      <c r="K64" s="337"/>
      <c r="L64" s="337"/>
      <c r="M64" s="337"/>
      <c r="N64" s="339">
        <f>N63*B25/1000</f>
        <v>0.86</v>
      </c>
      <c r="O64" s="372"/>
      <c r="P64" s="349">
        <f>P63*P25/1000</f>
        <v>1.67</v>
      </c>
      <c r="Q64" s="339">
        <f>P64</f>
        <v>1.67</v>
      </c>
      <c r="R64" s="340"/>
      <c r="S64" s="337"/>
      <c r="T64" s="337"/>
      <c r="U64" s="886">
        <f>U63*B25/1000</f>
        <v>0</v>
      </c>
      <c r="V64" s="363">
        <f>V63*V25/1000</f>
        <v>0.84</v>
      </c>
      <c r="W64" s="341">
        <f>V64</f>
        <v>0.84</v>
      </c>
      <c r="X64" s="337"/>
      <c r="Y64" s="337"/>
      <c r="Z64" s="343">
        <f>ROUND(E64+G64+I64+K64+L64+M64+N64+O64+Q64+R64+S64+T64+U64+W64+X64+Y64,2)</f>
        <v>3.37</v>
      </c>
      <c r="AA64" s="351">
        <f>Z64*B64</f>
        <v>124.69</v>
      </c>
      <c r="AB64" s="7"/>
      <c r="AC64" s="223">
        <f t="shared" si="5"/>
        <v>6.43</v>
      </c>
      <c r="AD64" s="7" t="str">
        <f>A64</f>
        <v>Лук</v>
      </c>
      <c r="AE64" s="7"/>
      <c r="AF64" s="7"/>
      <c r="AG64" s="7"/>
    </row>
    <row r="65" spans="1:33" ht="18" customHeight="1" thickTop="1">
      <c r="A65" s="133"/>
      <c r="B65" s="122"/>
      <c r="C65" s="77" t="s">
        <v>72</v>
      </c>
      <c r="D65" s="78"/>
      <c r="E65" s="268"/>
      <c r="F65" s="112"/>
      <c r="G65" s="106"/>
      <c r="H65" s="112"/>
      <c r="I65" s="106"/>
      <c r="J65" s="112"/>
      <c r="K65" s="106"/>
      <c r="L65" s="106"/>
      <c r="M65" s="106"/>
      <c r="N65" s="127">
        <v>9.6</v>
      </c>
      <c r="O65" s="250"/>
      <c r="P65" s="177"/>
      <c r="Q65" s="129"/>
      <c r="R65" s="129"/>
      <c r="S65" s="106"/>
      <c r="T65" s="245"/>
      <c r="U65" s="887">
        <v>6.7</v>
      </c>
      <c r="V65" s="888"/>
      <c r="W65" s="184"/>
      <c r="X65" s="106"/>
      <c r="Y65" s="106"/>
      <c r="Z65" s="125"/>
      <c r="AA65" s="123"/>
      <c r="AB65" s="7"/>
      <c r="AC65" s="224"/>
      <c r="AD65" s="7"/>
      <c r="AE65" s="7"/>
      <c r="AF65" s="7"/>
      <c r="AG65" s="7"/>
    </row>
    <row r="66" spans="1:33" ht="18" customHeight="1" thickBot="1">
      <c r="A66" s="346" t="s">
        <v>28</v>
      </c>
      <c r="B66" s="347">
        <v>38</v>
      </c>
      <c r="C66" s="348" t="s">
        <v>73</v>
      </c>
      <c r="D66" s="385"/>
      <c r="E66" s="353"/>
      <c r="F66" s="338"/>
      <c r="G66" s="337"/>
      <c r="H66" s="338"/>
      <c r="I66" s="337"/>
      <c r="J66" s="338"/>
      <c r="K66" s="337"/>
      <c r="L66" s="337"/>
      <c r="M66" s="337"/>
      <c r="N66" s="339">
        <f>N65*B25/1000</f>
        <v>0.96</v>
      </c>
      <c r="O66" s="339"/>
      <c r="P66" s="349"/>
      <c r="Q66" s="340"/>
      <c r="R66" s="340"/>
      <c r="S66" s="337"/>
      <c r="T66" s="342"/>
      <c r="U66" s="886">
        <f>U65*B25/1000</f>
        <v>0.67</v>
      </c>
      <c r="V66" s="360"/>
      <c r="W66" s="341"/>
      <c r="X66" s="337"/>
      <c r="Y66" s="337"/>
      <c r="Z66" s="343">
        <f>ROUND(E66+G66+I66+K66+L66+M66+N66+O66+Q66+R66+S66+T66+U66+W66+X66+Y66,2)</f>
        <v>1.63</v>
      </c>
      <c r="AA66" s="344">
        <f>Z66*B66</f>
        <v>61.94</v>
      </c>
      <c r="AB66" s="7"/>
      <c r="AC66" s="223">
        <f t="shared" si="5"/>
        <v>2.88</v>
      </c>
      <c r="AD66" s="7" t="str">
        <f>A66</f>
        <v>Морковь</v>
      </c>
      <c r="AE66" s="7"/>
      <c r="AF66" s="7"/>
      <c r="AG66" s="7"/>
    </row>
    <row r="67" spans="1:33" ht="18" customHeight="1" thickTop="1">
      <c r="A67" s="133"/>
      <c r="B67" s="122"/>
      <c r="C67" s="77" t="s">
        <v>72</v>
      </c>
      <c r="D67" s="287"/>
      <c r="E67" s="268"/>
      <c r="F67" s="112"/>
      <c r="G67" s="106"/>
      <c r="H67" s="112"/>
      <c r="I67" s="114"/>
      <c r="J67" s="112"/>
      <c r="K67" s="106"/>
      <c r="L67" s="106"/>
      <c r="M67" s="106"/>
      <c r="N67" s="106"/>
      <c r="O67" s="250"/>
      <c r="P67" s="177"/>
      <c r="Q67" s="106"/>
      <c r="R67" s="131">
        <v>6.75</v>
      </c>
      <c r="S67" s="106"/>
      <c r="T67" s="106"/>
      <c r="U67" s="679"/>
      <c r="V67" s="693"/>
      <c r="W67" s="893"/>
      <c r="X67" s="268"/>
      <c r="Y67" s="106"/>
      <c r="Z67" s="125"/>
      <c r="AA67" s="123"/>
      <c r="AB67" s="7"/>
      <c r="AC67" s="224"/>
      <c r="AD67" s="7"/>
      <c r="AE67" s="7"/>
      <c r="AF67" s="7"/>
      <c r="AG67" s="7"/>
    </row>
    <row r="68" spans="1:33" ht="18" customHeight="1" thickBot="1">
      <c r="A68" s="346" t="s">
        <v>20</v>
      </c>
      <c r="B68" s="347">
        <v>227</v>
      </c>
      <c r="C68" s="348" t="s">
        <v>73</v>
      </c>
      <c r="D68" s="385"/>
      <c r="E68" s="353"/>
      <c r="F68" s="338"/>
      <c r="G68" s="337"/>
      <c r="H68" s="338"/>
      <c r="I68" s="340"/>
      <c r="J68" s="338"/>
      <c r="K68" s="337"/>
      <c r="L68" s="337"/>
      <c r="M68" s="337"/>
      <c r="N68" s="337"/>
      <c r="O68" s="340"/>
      <c r="P68" s="349"/>
      <c r="Q68" s="337"/>
      <c r="R68" s="341">
        <f>R67*B25/1000</f>
        <v>0.67500000000000004</v>
      </c>
      <c r="S68" s="337"/>
      <c r="T68" s="337"/>
      <c r="U68" s="372"/>
      <c r="V68" s="361"/>
      <c r="W68" s="894"/>
      <c r="X68" s="353"/>
      <c r="Y68" s="337"/>
      <c r="Z68" s="343">
        <f>ROUND(E68+G68+I68+K68+L68+M68+N68+O68+Q68+R68+S68+T68+U68+W68+X68+Y68,2)</f>
        <v>0.68</v>
      </c>
      <c r="AA68" s="344">
        <f>Z68*B68</f>
        <v>154.36000000000001</v>
      </c>
      <c r="AB68" s="7"/>
      <c r="AC68" s="223">
        <f t="shared" si="5"/>
        <v>1.1300000000000001</v>
      </c>
      <c r="AD68" s="7" t="str">
        <f>A68</f>
        <v>Сметана</v>
      </c>
      <c r="AE68" s="7"/>
      <c r="AF68" s="7"/>
      <c r="AG68" s="7"/>
    </row>
    <row r="69" spans="1:33" ht="18" customHeight="1" thickTop="1">
      <c r="A69" s="133"/>
      <c r="B69" s="122"/>
      <c r="C69" s="77" t="s">
        <v>72</v>
      </c>
      <c r="D69" s="90">
        <v>20</v>
      </c>
      <c r="E69" s="129">
        <f>D69/D26*E26</f>
        <v>20</v>
      </c>
      <c r="F69" s="112"/>
      <c r="G69" s="106"/>
      <c r="H69" s="112"/>
      <c r="I69" s="106"/>
      <c r="J69" s="112"/>
      <c r="K69" s="128"/>
      <c r="L69" s="566">
        <f>L70/B25*1000</f>
        <v>20</v>
      </c>
      <c r="M69" s="106"/>
      <c r="N69" s="106"/>
      <c r="O69" s="251"/>
      <c r="P69" s="177"/>
      <c r="Q69" s="114"/>
      <c r="R69" s="114"/>
      <c r="S69" s="106"/>
      <c r="T69" s="106"/>
      <c r="U69" s="106"/>
      <c r="V69" s="497"/>
      <c r="W69" s="129"/>
      <c r="X69" s="106"/>
      <c r="Y69" s="114">
        <f>Y70*B25/1000</f>
        <v>0</v>
      </c>
      <c r="Z69" s="125"/>
      <c r="AA69" s="123"/>
      <c r="AB69" s="7"/>
      <c r="AC69" s="224"/>
      <c r="AD69" s="7"/>
      <c r="AE69" s="7"/>
      <c r="AF69" s="7"/>
      <c r="AG69" s="7"/>
    </row>
    <row r="70" spans="1:33" ht="18" customHeight="1" thickBot="1">
      <c r="A70" s="346" t="s">
        <v>62</v>
      </c>
      <c r="B70" s="347">
        <v>81.099999999999994</v>
      </c>
      <c r="C70" s="348" t="s">
        <v>73</v>
      </c>
      <c r="D70" s="363">
        <f>D69*F25/1000</f>
        <v>2</v>
      </c>
      <c r="E70" s="341">
        <f>D70</f>
        <v>2</v>
      </c>
      <c r="F70" s="338"/>
      <c r="G70" s="337"/>
      <c r="H70" s="338"/>
      <c r="I70" s="337"/>
      <c r="J70" s="338"/>
      <c r="K70" s="339"/>
      <c r="L70" s="670">
        <v>2</v>
      </c>
      <c r="M70" s="337"/>
      <c r="N70" s="340"/>
      <c r="O70" s="358"/>
      <c r="P70" s="349"/>
      <c r="Q70" s="340"/>
      <c r="R70" s="340"/>
      <c r="S70" s="337"/>
      <c r="T70" s="337"/>
      <c r="U70" s="337"/>
      <c r="V70" s="349"/>
      <c r="W70" s="341"/>
      <c r="X70" s="337"/>
      <c r="Y70" s="339"/>
      <c r="Z70" s="343">
        <f>ROUND(E70+G70+I70+K70+L70+M70+N70+O70+Q70+R70+S70+T70+U70+W70+X70+Y70,2)</f>
        <v>4</v>
      </c>
      <c r="AA70" s="344">
        <f>Z70*B70</f>
        <v>324.39999999999998</v>
      </c>
      <c r="AB70" s="7"/>
      <c r="AC70" s="223">
        <f>Z70+Z165</f>
        <v>7</v>
      </c>
      <c r="AD70" s="7" t="str">
        <f>A70</f>
        <v>Батон витам.</v>
      </c>
      <c r="AE70" s="7"/>
      <c r="AF70" s="7"/>
      <c r="AG70" s="7"/>
    </row>
    <row r="71" spans="1:33" ht="18" customHeight="1" thickTop="1">
      <c r="A71" s="133"/>
      <c r="B71" s="122"/>
      <c r="C71" s="77" t="s">
        <v>72</v>
      </c>
      <c r="D71" s="287"/>
      <c r="E71" s="268"/>
      <c r="F71" s="112"/>
      <c r="G71" s="106"/>
      <c r="H71" s="112"/>
      <c r="I71" s="106"/>
      <c r="J71" s="112"/>
      <c r="K71" s="106"/>
      <c r="L71" s="106"/>
      <c r="M71" s="106"/>
      <c r="N71" s="106"/>
      <c r="O71" s="251"/>
      <c r="P71" s="112"/>
      <c r="Q71" s="106"/>
      <c r="R71" s="106"/>
      <c r="S71" s="106"/>
      <c r="T71" s="128">
        <f>T72/T25*1000</f>
        <v>40</v>
      </c>
      <c r="U71" s="106"/>
      <c r="V71" s="889"/>
      <c r="W71" s="268"/>
      <c r="X71" s="106"/>
      <c r="Y71" s="106"/>
      <c r="Z71" s="125"/>
      <c r="AA71" s="123"/>
      <c r="AB71" s="7"/>
      <c r="AC71" s="224"/>
      <c r="AD71" s="7"/>
      <c r="AE71" s="7"/>
      <c r="AF71" s="7"/>
      <c r="AG71" s="7"/>
    </row>
    <row r="72" spans="1:33" ht="18" customHeight="1" thickBot="1">
      <c r="A72" s="346" t="s">
        <v>82</v>
      </c>
      <c r="B72" s="347">
        <v>55</v>
      </c>
      <c r="C72" s="348" t="s">
        <v>73</v>
      </c>
      <c r="D72" s="385"/>
      <c r="E72" s="353"/>
      <c r="F72" s="338"/>
      <c r="G72" s="337"/>
      <c r="H72" s="338"/>
      <c r="I72" s="337"/>
      <c r="J72" s="338"/>
      <c r="K72" s="337"/>
      <c r="L72" s="337"/>
      <c r="M72" s="337"/>
      <c r="N72" s="337"/>
      <c r="O72" s="358"/>
      <c r="P72" s="338"/>
      <c r="Q72" s="337"/>
      <c r="R72" s="337"/>
      <c r="S72" s="337"/>
      <c r="T72" s="342">
        <v>4</v>
      </c>
      <c r="U72" s="337"/>
      <c r="V72" s="835"/>
      <c r="W72" s="353"/>
      <c r="X72" s="337"/>
      <c r="Y72" s="337"/>
      <c r="Z72" s="343">
        <f>ROUND(E72+G72+I72+K72+L72+M72+N72+O72+Q72+R72+S72+T72+U72+W72+X72+Y72,2)</f>
        <v>4</v>
      </c>
      <c r="AA72" s="344">
        <f>Z72*B72</f>
        <v>220</v>
      </c>
      <c r="AB72" s="7"/>
      <c r="AC72" s="226">
        <f>Z72+Z167</f>
        <v>7</v>
      </c>
      <c r="AD72" s="7" t="str">
        <f>A72</f>
        <v>Хлеб рж-пшен.</v>
      </c>
      <c r="AE72" s="7"/>
      <c r="AF72" s="7"/>
      <c r="AG72" s="7"/>
    </row>
    <row r="73" spans="1:33" ht="18" customHeight="1" thickTop="1">
      <c r="A73" s="133"/>
      <c r="B73" s="122"/>
      <c r="C73" s="77" t="s">
        <v>72</v>
      </c>
      <c r="D73" s="287"/>
      <c r="E73" s="268"/>
      <c r="F73" s="112"/>
      <c r="G73" s="106"/>
      <c r="H73" s="112"/>
      <c r="I73" s="106"/>
      <c r="J73" s="112"/>
      <c r="K73" s="106"/>
      <c r="L73" s="106"/>
      <c r="M73" s="106"/>
      <c r="N73" s="106"/>
      <c r="O73" s="251"/>
      <c r="P73" s="112"/>
      <c r="Q73" s="106"/>
      <c r="R73" s="106"/>
      <c r="S73" s="106"/>
      <c r="T73" s="106"/>
      <c r="U73" s="106"/>
      <c r="V73" s="406"/>
      <c r="W73" s="498"/>
      <c r="X73" s="106"/>
      <c r="Y73" s="128">
        <f>Y74/Y25*1000</f>
        <v>20</v>
      </c>
      <c r="Z73" s="125"/>
      <c r="AA73" s="123"/>
      <c r="AB73" s="7"/>
      <c r="AC73" s="228"/>
      <c r="AD73" s="7"/>
      <c r="AE73" s="7"/>
      <c r="AF73" s="7"/>
      <c r="AG73" s="7"/>
    </row>
    <row r="74" spans="1:33" ht="18" customHeight="1" thickBot="1">
      <c r="A74" s="346" t="s">
        <v>84</v>
      </c>
      <c r="B74" s="347">
        <v>61.3</v>
      </c>
      <c r="C74" s="348" t="s">
        <v>73</v>
      </c>
      <c r="D74" s="385"/>
      <c r="E74" s="353"/>
      <c r="F74" s="338"/>
      <c r="G74" s="337"/>
      <c r="H74" s="338"/>
      <c r="I74" s="337"/>
      <c r="J74" s="338"/>
      <c r="K74" s="337"/>
      <c r="L74" s="337"/>
      <c r="M74" s="337"/>
      <c r="N74" s="337"/>
      <c r="O74" s="358"/>
      <c r="P74" s="338"/>
      <c r="Q74" s="337"/>
      <c r="R74" s="337"/>
      <c r="S74" s="337"/>
      <c r="T74" s="337"/>
      <c r="U74" s="337"/>
      <c r="V74" s="835"/>
      <c r="W74" s="350"/>
      <c r="X74" s="337"/>
      <c r="Y74" s="342">
        <v>2</v>
      </c>
      <c r="Z74" s="343">
        <f>ROUND(E74+G74+I74+K74+L74+M74+N74+O74+Q74+R74+S74+T74+U74+W74+X74+Y74,2)</f>
        <v>2</v>
      </c>
      <c r="AA74" s="344">
        <f>Z74*B74</f>
        <v>122.6</v>
      </c>
      <c r="AB74" s="7"/>
      <c r="AC74" s="223">
        <f>Z74+Z169</f>
        <v>3</v>
      </c>
      <c r="AD74" s="7" t="str">
        <f>A74</f>
        <v xml:space="preserve">Хлеб  йод. пш. </v>
      </c>
      <c r="AE74" s="7"/>
      <c r="AF74" s="7"/>
      <c r="AG74" s="7"/>
    </row>
    <row r="75" spans="1:33" ht="18" customHeight="1" thickTop="1">
      <c r="A75" s="133"/>
      <c r="B75" s="122"/>
      <c r="C75" s="77" t="s">
        <v>72</v>
      </c>
      <c r="D75" s="287"/>
      <c r="E75" s="268"/>
      <c r="F75" s="112"/>
      <c r="G75" s="106"/>
      <c r="H75" s="112"/>
      <c r="I75" s="106"/>
      <c r="J75" s="112"/>
      <c r="K75" s="106"/>
      <c r="L75" s="106"/>
      <c r="M75" s="106"/>
      <c r="N75" s="106"/>
      <c r="O75" s="251"/>
      <c r="P75" s="112"/>
      <c r="Q75" s="106"/>
      <c r="R75" s="106"/>
      <c r="S75" s="106"/>
      <c r="T75" s="106"/>
      <c r="U75" s="127"/>
      <c r="V75" s="497"/>
      <c r="W75" s="129"/>
      <c r="X75" s="127">
        <v>8</v>
      </c>
      <c r="Y75" s="106"/>
      <c r="Z75" s="125"/>
      <c r="AA75" s="123"/>
      <c r="AB75" s="7"/>
      <c r="AC75" s="224"/>
      <c r="AD75" s="7"/>
      <c r="AE75" s="7"/>
      <c r="AF75" s="7"/>
      <c r="AG75" s="7"/>
    </row>
    <row r="76" spans="1:33" ht="18" customHeight="1" thickBot="1">
      <c r="A76" s="134" t="s">
        <v>89</v>
      </c>
      <c r="B76" s="347">
        <v>190</v>
      </c>
      <c r="C76" s="348" t="s">
        <v>73</v>
      </c>
      <c r="D76" s="385"/>
      <c r="E76" s="353"/>
      <c r="F76" s="338"/>
      <c r="G76" s="337"/>
      <c r="H76" s="338"/>
      <c r="I76" s="337"/>
      <c r="J76" s="338"/>
      <c r="K76" s="337"/>
      <c r="L76" s="337"/>
      <c r="M76" s="337"/>
      <c r="N76" s="337"/>
      <c r="O76" s="358"/>
      <c r="P76" s="338"/>
      <c r="Q76" s="337"/>
      <c r="R76" s="337"/>
      <c r="S76" s="337"/>
      <c r="T76" s="337"/>
      <c r="U76" s="340"/>
      <c r="V76" s="349"/>
      <c r="W76" s="366"/>
      <c r="X76" s="339">
        <f>X75*B25/1000</f>
        <v>0.8</v>
      </c>
      <c r="Y76" s="337"/>
      <c r="Z76" s="343">
        <f>ROUND(E76+G76+I76+K76+L76+M76+N76+O76+Q76+R76+S76+T76+U76+W76+X76+Y76,2)</f>
        <v>0.8</v>
      </c>
      <c r="AA76" s="344">
        <f>Z76*B76</f>
        <v>152</v>
      </c>
      <c r="AB76" s="7"/>
      <c r="AC76" s="225">
        <f t="shared" ref="AC76:AC90" si="6">Z76+Z171</f>
        <v>1.2000000000000002</v>
      </c>
      <c r="AD76" s="7" t="str">
        <f>A76</f>
        <v>Лимоны</v>
      </c>
      <c r="AE76" s="7"/>
      <c r="AF76" s="7"/>
      <c r="AG76" s="7"/>
    </row>
    <row r="77" spans="1:33" ht="18" customHeight="1" thickTop="1">
      <c r="A77" s="133"/>
      <c r="B77" s="122"/>
      <c r="C77" s="77" t="s">
        <v>72</v>
      </c>
      <c r="D77" s="287"/>
      <c r="E77" s="268"/>
      <c r="F77" s="112"/>
      <c r="G77" s="106"/>
      <c r="H77" s="112">
        <v>3</v>
      </c>
      <c r="I77" s="128">
        <f>H77/H26*I26</f>
        <v>3</v>
      </c>
      <c r="J77" s="112"/>
      <c r="K77" s="106"/>
      <c r="L77" s="106"/>
      <c r="M77" s="106"/>
      <c r="N77" s="106"/>
      <c r="O77" s="251"/>
      <c r="P77" s="112"/>
      <c r="Q77" s="106"/>
      <c r="R77" s="106"/>
      <c r="S77" s="106"/>
      <c r="T77" s="106"/>
      <c r="U77" s="106"/>
      <c r="V77" s="889"/>
      <c r="W77" s="268"/>
      <c r="X77" s="250"/>
      <c r="Y77" s="106"/>
      <c r="Z77" s="125"/>
      <c r="AA77" s="123"/>
      <c r="AB77" s="7"/>
      <c r="AC77" s="224"/>
      <c r="AD77" s="7"/>
      <c r="AE77" s="7"/>
      <c r="AF77" s="7"/>
      <c r="AG77" s="7"/>
    </row>
    <row r="78" spans="1:33" ht="18" customHeight="1" thickBot="1">
      <c r="A78" s="346" t="s">
        <v>112</v>
      </c>
      <c r="B78" s="347">
        <v>550</v>
      </c>
      <c r="C78" s="348" t="s">
        <v>73</v>
      </c>
      <c r="D78" s="385"/>
      <c r="E78" s="353"/>
      <c r="F78" s="338"/>
      <c r="G78" s="337"/>
      <c r="H78" s="338">
        <f>H77*H25/1000</f>
        <v>0.3</v>
      </c>
      <c r="I78" s="357">
        <f>H78</f>
        <v>0.3</v>
      </c>
      <c r="J78" s="338"/>
      <c r="K78" s="337"/>
      <c r="L78" s="337"/>
      <c r="M78" s="337"/>
      <c r="N78" s="337"/>
      <c r="O78" s="358"/>
      <c r="P78" s="338"/>
      <c r="Q78" s="337"/>
      <c r="R78" s="337"/>
      <c r="S78" s="337"/>
      <c r="T78" s="337"/>
      <c r="U78" s="337"/>
      <c r="V78" s="835"/>
      <c r="W78" s="353"/>
      <c r="X78" s="357"/>
      <c r="Y78" s="337"/>
      <c r="Z78" s="356">
        <f>ROUND(E78+G78+I78+K78+L78+M78+N78+O78+Q78+R78+S78+T78+U78+W78+X78+Y78,3)</f>
        <v>0.3</v>
      </c>
      <c r="AA78" s="344">
        <f>Z78*B78</f>
        <v>165</v>
      </c>
      <c r="AB78" s="7"/>
      <c r="AC78" s="225">
        <f t="shared" si="6"/>
        <v>0.5</v>
      </c>
      <c r="AD78" s="7" t="str">
        <f>A78</f>
        <v>Кофейн. нап.</v>
      </c>
      <c r="AE78" s="7"/>
      <c r="AF78" s="7"/>
      <c r="AG78" s="7"/>
    </row>
    <row r="79" spans="1:33" ht="18" customHeight="1" thickTop="1">
      <c r="A79" s="133"/>
      <c r="B79" s="122"/>
      <c r="C79" s="77" t="s">
        <v>72</v>
      </c>
      <c r="D79" s="287"/>
      <c r="E79" s="268"/>
      <c r="F79" s="112"/>
      <c r="G79" s="106"/>
      <c r="H79" s="112"/>
      <c r="I79" s="106"/>
      <c r="J79" s="112"/>
      <c r="K79" s="106"/>
      <c r="L79" s="114"/>
      <c r="M79" s="114"/>
      <c r="N79" s="106"/>
      <c r="O79" s="251"/>
      <c r="P79" s="177">
        <f>8/160*P26</f>
        <v>8</v>
      </c>
      <c r="Q79" s="114">
        <f>P79/P26*Q26</f>
        <v>8</v>
      </c>
      <c r="R79" s="106"/>
      <c r="S79" s="106"/>
      <c r="T79" s="106"/>
      <c r="U79" s="127"/>
      <c r="V79" s="406"/>
      <c r="W79" s="268"/>
      <c r="X79" s="106"/>
      <c r="Y79" s="106"/>
      <c r="Z79" s="125"/>
      <c r="AA79" s="123"/>
      <c r="AB79" s="7"/>
      <c r="AC79" s="224"/>
      <c r="AD79" s="7"/>
      <c r="AE79" s="7"/>
      <c r="AF79" s="7"/>
      <c r="AG79" s="7"/>
    </row>
    <row r="80" spans="1:33" ht="18" customHeight="1" thickBot="1">
      <c r="A80" s="346" t="s">
        <v>24</v>
      </c>
      <c r="B80" s="347">
        <v>81.92</v>
      </c>
      <c r="C80" s="348" t="s">
        <v>73</v>
      </c>
      <c r="D80" s="385"/>
      <c r="E80" s="353"/>
      <c r="F80" s="338"/>
      <c r="G80" s="337"/>
      <c r="H80" s="338"/>
      <c r="I80" s="337"/>
      <c r="J80" s="338"/>
      <c r="K80" s="337"/>
      <c r="L80" s="342"/>
      <c r="M80" s="342"/>
      <c r="N80" s="337"/>
      <c r="O80" s="358"/>
      <c r="P80" s="349">
        <f>P79*F25/1000</f>
        <v>0.8</v>
      </c>
      <c r="Q80" s="339">
        <f>P80</f>
        <v>0.8</v>
      </c>
      <c r="R80" s="337"/>
      <c r="S80" s="337"/>
      <c r="T80" s="337"/>
      <c r="U80" s="340"/>
      <c r="V80" s="835"/>
      <c r="W80" s="353"/>
      <c r="X80" s="337"/>
      <c r="Y80" s="337"/>
      <c r="Z80" s="343">
        <f>ROUND(E80+G80+I80+K80+L80+M80+N80+O80+Q80+R80+S80+T80+U80+W80+X80+Y80,2)</f>
        <v>0.8</v>
      </c>
      <c r="AA80" s="344">
        <f>Z80*B80</f>
        <v>65.536000000000001</v>
      </c>
      <c r="AB80" s="7"/>
      <c r="AC80" s="223">
        <f t="shared" si="6"/>
        <v>1.5</v>
      </c>
      <c r="AD80" s="7" t="str">
        <f>A80</f>
        <v>Рис</v>
      </c>
      <c r="AE80" s="7"/>
      <c r="AF80" s="7"/>
      <c r="AG80" s="7"/>
    </row>
    <row r="81" spans="1:33" ht="18" customHeight="1" thickTop="1">
      <c r="A81" s="133"/>
      <c r="B81" s="122"/>
      <c r="C81" s="77" t="s">
        <v>72</v>
      </c>
      <c r="D81" s="305"/>
      <c r="E81" s="268"/>
      <c r="F81" s="112"/>
      <c r="G81" s="106"/>
      <c r="H81" s="112"/>
      <c r="I81" s="255"/>
      <c r="J81" s="112"/>
      <c r="K81" s="106"/>
      <c r="L81" s="106"/>
      <c r="M81" s="106"/>
      <c r="N81" s="127"/>
      <c r="O81" s="251"/>
      <c r="P81" s="112"/>
      <c r="Q81" s="129"/>
      <c r="R81" s="131">
        <v>1.2</v>
      </c>
      <c r="S81" s="106"/>
      <c r="T81" s="106"/>
      <c r="U81" s="127"/>
      <c r="V81" s="890">
        <f>2.3/100*V26</f>
        <v>2.2999999999999998</v>
      </c>
      <c r="W81" s="129">
        <f>V81/V26*W26</f>
        <v>2.2999999999999998</v>
      </c>
      <c r="X81" s="106"/>
      <c r="Y81" s="106"/>
      <c r="Z81" s="125"/>
      <c r="AA81" s="123"/>
      <c r="AB81" s="7"/>
      <c r="AC81" s="224"/>
      <c r="AD81" s="7"/>
      <c r="AE81" s="7"/>
      <c r="AF81" s="7"/>
      <c r="AG81" s="7"/>
    </row>
    <row r="82" spans="1:33" ht="18" customHeight="1" thickBot="1">
      <c r="A82" s="346" t="s">
        <v>104</v>
      </c>
      <c r="B82" s="347">
        <v>370</v>
      </c>
      <c r="C82" s="348" t="s">
        <v>73</v>
      </c>
      <c r="D82" s="385"/>
      <c r="E82" s="353"/>
      <c r="F82" s="338"/>
      <c r="G82" s="337"/>
      <c r="H82" s="338"/>
      <c r="I82" s="337"/>
      <c r="J82" s="338"/>
      <c r="K82" s="337"/>
      <c r="L82" s="337"/>
      <c r="M82" s="337"/>
      <c r="N82" s="340"/>
      <c r="O82" s="339"/>
      <c r="P82" s="349"/>
      <c r="Q82" s="340"/>
      <c r="R82" s="341">
        <f>R81*B25/1000</f>
        <v>0.12</v>
      </c>
      <c r="S82" s="358"/>
      <c r="T82" s="358"/>
      <c r="U82" s="340"/>
      <c r="V82" s="363">
        <f>V81*V25/1000</f>
        <v>0.22999999999999998</v>
      </c>
      <c r="W82" s="366">
        <f>V82</f>
        <v>0.22999999999999998</v>
      </c>
      <c r="X82" s="337"/>
      <c r="Y82" s="337"/>
      <c r="Z82" s="343">
        <f>ROUND(E82+G82+I82+K82+L82+M82+N82+O82+Q82+R82+S82+T82+U82+W82+X82+Y82,2)</f>
        <v>0.35</v>
      </c>
      <c r="AA82" s="344">
        <f>Z82*B82</f>
        <v>129.5</v>
      </c>
      <c r="AB82" s="7"/>
      <c r="AC82" s="223">
        <f t="shared" si="6"/>
        <v>0.35</v>
      </c>
      <c r="AD82" s="7" t="str">
        <f>A82</f>
        <v>Паста томатная</v>
      </c>
      <c r="AE82" s="7"/>
      <c r="AF82" s="7"/>
      <c r="AG82" s="7"/>
    </row>
    <row r="83" spans="1:33" ht="18" customHeight="1" thickTop="1">
      <c r="A83" s="133"/>
      <c r="B83" s="122"/>
      <c r="C83" s="77" t="s">
        <v>72</v>
      </c>
      <c r="D83" s="287"/>
      <c r="E83" s="271"/>
      <c r="F83" s="112"/>
      <c r="G83" s="105"/>
      <c r="H83" s="112"/>
      <c r="I83" s="105"/>
      <c r="J83" s="112"/>
      <c r="K83" s="105"/>
      <c r="L83" s="105"/>
      <c r="M83" s="105"/>
      <c r="N83" s="105"/>
      <c r="O83" s="250"/>
      <c r="P83" s="112"/>
      <c r="Q83" s="105"/>
      <c r="R83" s="105"/>
      <c r="S83" s="127">
        <v>0.18</v>
      </c>
      <c r="T83" s="105"/>
      <c r="U83" s="127">
        <v>0.15</v>
      </c>
      <c r="V83" s="695"/>
      <c r="W83" s="271"/>
      <c r="X83" s="105"/>
      <c r="Y83" s="105"/>
      <c r="Z83" s="125"/>
      <c r="AA83" s="123"/>
      <c r="AB83" s="7"/>
      <c r="AC83" s="224"/>
      <c r="AD83" s="7"/>
      <c r="AE83" s="7"/>
      <c r="AF83" s="7"/>
      <c r="AG83" s="7"/>
    </row>
    <row r="84" spans="1:33" ht="18" customHeight="1" thickBot="1">
      <c r="A84" s="346" t="s">
        <v>75</v>
      </c>
      <c r="B84" s="347">
        <v>900</v>
      </c>
      <c r="C84" s="348" t="s">
        <v>73</v>
      </c>
      <c r="D84" s="385"/>
      <c r="E84" s="353"/>
      <c r="F84" s="338"/>
      <c r="G84" s="337"/>
      <c r="H84" s="338"/>
      <c r="I84" s="337"/>
      <c r="J84" s="338"/>
      <c r="K84" s="337"/>
      <c r="L84" s="337"/>
      <c r="M84" s="337"/>
      <c r="N84" s="337"/>
      <c r="O84" s="340"/>
      <c r="P84" s="338"/>
      <c r="Q84" s="337"/>
      <c r="R84" s="337"/>
      <c r="S84" s="357">
        <f>S83*B25/1000</f>
        <v>1.7999999999999999E-2</v>
      </c>
      <c r="T84" s="337"/>
      <c r="U84" s="357">
        <f>U83*B25/1000</f>
        <v>1.4999999999999999E-2</v>
      </c>
      <c r="V84" s="360"/>
      <c r="W84" s="353"/>
      <c r="X84" s="337"/>
      <c r="Y84" s="337"/>
      <c r="Z84" s="356">
        <f>ROUND(E84+G84+I84+K84+L84+M84+N84+O84+Q84+R84+S84+T84+U84+W84+X84+Y84,3)</f>
        <v>3.3000000000000002E-2</v>
      </c>
      <c r="AA84" s="344">
        <f>Z84*B84</f>
        <v>29.700000000000003</v>
      </c>
      <c r="AB84" s="7"/>
      <c r="AC84" s="223">
        <f t="shared" si="6"/>
        <v>5.7000000000000002E-2</v>
      </c>
      <c r="AD84" s="7" t="str">
        <f>A84</f>
        <v>Лимонная к-та</v>
      </c>
      <c r="AE84" s="7"/>
      <c r="AF84" s="7"/>
      <c r="AG84" s="7"/>
    </row>
    <row r="85" spans="1:33" ht="18" customHeight="1" thickTop="1">
      <c r="A85" s="133"/>
      <c r="B85" s="122"/>
      <c r="C85" s="77" t="s">
        <v>72</v>
      </c>
      <c r="D85" s="287"/>
      <c r="E85" s="268"/>
      <c r="F85" s="112"/>
      <c r="G85" s="106"/>
      <c r="H85" s="112"/>
      <c r="I85" s="128"/>
      <c r="J85" s="112"/>
      <c r="K85" s="106"/>
      <c r="L85" s="106"/>
      <c r="M85" s="106"/>
      <c r="N85" s="106"/>
      <c r="O85" s="106"/>
      <c r="P85" s="112"/>
      <c r="Q85" s="106"/>
      <c r="R85" s="106"/>
      <c r="S85" s="106"/>
      <c r="T85" s="106"/>
      <c r="U85" s="127"/>
      <c r="V85" s="406"/>
      <c r="W85" s="272"/>
      <c r="X85" s="250">
        <v>0.5</v>
      </c>
      <c r="Y85" s="106"/>
      <c r="Z85" s="125"/>
      <c r="AA85" s="123"/>
      <c r="AB85" s="7"/>
      <c r="AC85" s="224"/>
      <c r="AD85" s="7"/>
      <c r="AE85" s="7"/>
      <c r="AF85" s="7"/>
      <c r="AG85" s="7"/>
    </row>
    <row r="86" spans="1:33" ht="18" customHeight="1" thickBot="1">
      <c r="A86" s="346" t="s">
        <v>29</v>
      </c>
      <c r="B86" s="347">
        <v>520</v>
      </c>
      <c r="C86" s="348" t="s">
        <v>73</v>
      </c>
      <c r="D86" s="385"/>
      <c r="E86" s="353"/>
      <c r="F86" s="338"/>
      <c r="G86" s="337"/>
      <c r="H86" s="338"/>
      <c r="I86" s="342"/>
      <c r="J86" s="338"/>
      <c r="K86" s="337"/>
      <c r="L86" s="337"/>
      <c r="M86" s="337"/>
      <c r="N86" s="337"/>
      <c r="O86" s="337"/>
      <c r="P86" s="338"/>
      <c r="Q86" s="337"/>
      <c r="R86" s="337"/>
      <c r="S86" s="337"/>
      <c r="T86" s="337"/>
      <c r="U86" s="340"/>
      <c r="V86" s="835"/>
      <c r="W86" s="367"/>
      <c r="X86" s="357">
        <f>X85*B25/1000</f>
        <v>0.05</v>
      </c>
      <c r="Y86" s="337"/>
      <c r="Z86" s="356">
        <f>ROUND(E86+G86+I86+K86+L86+M86+N86+O86+Q86+R86+S86+T86+U86+W86+X86+Y86,3)</f>
        <v>0.05</v>
      </c>
      <c r="AA86" s="344">
        <f>Z86*B86</f>
        <v>26</v>
      </c>
      <c r="AB86" s="7"/>
      <c r="AC86" s="223">
        <f t="shared" si="6"/>
        <v>0.08</v>
      </c>
      <c r="AD86" s="7" t="str">
        <f>A86</f>
        <v>Чай</v>
      </c>
      <c r="AE86" s="7"/>
      <c r="AF86" s="7"/>
      <c r="AG86" s="7"/>
    </row>
    <row r="87" spans="1:33" ht="18" customHeight="1" thickTop="1">
      <c r="A87" s="133"/>
      <c r="B87" s="122"/>
      <c r="C87" s="77" t="s">
        <v>72</v>
      </c>
      <c r="D87" s="287"/>
      <c r="E87" s="268"/>
      <c r="F87" s="112">
        <v>0.8</v>
      </c>
      <c r="G87" s="128">
        <f>F87/F26*G26</f>
        <v>0.8</v>
      </c>
      <c r="H87" s="112"/>
      <c r="I87" s="106"/>
      <c r="J87" s="112"/>
      <c r="K87" s="106"/>
      <c r="L87" s="106"/>
      <c r="M87" s="106"/>
      <c r="N87" s="106">
        <v>0.5</v>
      </c>
      <c r="O87" s="106"/>
      <c r="P87" s="112">
        <v>0.6</v>
      </c>
      <c r="Q87" s="114">
        <f>P87/P26*Q26</f>
        <v>0.6</v>
      </c>
      <c r="R87" s="131">
        <v>0.4</v>
      </c>
      <c r="S87" s="106"/>
      <c r="T87" s="106"/>
      <c r="U87" s="106">
        <v>0.1</v>
      </c>
      <c r="V87" s="890"/>
      <c r="W87" s="498">
        <v>0.3</v>
      </c>
      <c r="X87" s="106"/>
      <c r="Y87" s="106"/>
      <c r="Z87" s="125"/>
      <c r="AA87" s="123"/>
      <c r="AB87" s="7"/>
      <c r="AC87" s="224"/>
      <c r="AD87" s="7"/>
      <c r="AE87" s="7"/>
      <c r="AF87" s="7"/>
      <c r="AG87" s="7"/>
    </row>
    <row r="88" spans="1:33" ht="18" customHeight="1" thickBot="1">
      <c r="A88" s="346" t="s">
        <v>138</v>
      </c>
      <c r="B88" s="347">
        <v>28</v>
      </c>
      <c r="C88" s="348" t="s">
        <v>73</v>
      </c>
      <c r="D88" s="385"/>
      <c r="E88" s="353"/>
      <c r="F88" s="349">
        <f>F87*F25/1000</f>
        <v>0.08</v>
      </c>
      <c r="G88" s="339">
        <f>F88</f>
        <v>0.08</v>
      </c>
      <c r="H88" s="338"/>
      <c r="I88" s="337"/>
      <c r="J88" s="338"/>
      <c r="K88" s="337"/>
      <c r="L88" s="337"/>
      <c r="M88" s="337"/>
      <c r="N88" s="339">
        <f>N87*B25/1000</f>
        <v>0.05</v>
      </c>
      <c r="O88" s="339"/>
      <c r="P88" s="349">
        <f>P87*P25/1000</f>
        <v>0.06</v>
      </c>
      <c r="Q88" s="339">
        <f>P88</f>
        <v>0.06</v>
      </c>
      <c r="R88" s="341">
        <f>R87*B25/1000</f>
        <v>0.04</v>
      </c>
      <c r="S88" s="337"/>
      <c r="T88" s="337"/>
      <c r="U88" s="372">
        <f>U87*B25/1000</f>
        <v>0.01</v>
      </c>
      <c r="V88" s="363"/>
      <c r="W88" s="341">
        <f>W87*B25/1000</f>
        <v>0.03</v>
      </c>
      <c r="X88" s="337"/>
      <c r="Y88" s="337"/>
      <c r="Z88" s="343">
        <f>ROUND(E88+G88+I88+K88+L88+M88+N88+O88+Q88+R88+S88+T88+U88+W88+X88+Y88,2)</f>
        <v>0.27</v>
      </c>
      <c r="AA88" s="344">
        <f>Z88*B88</f>
        <v>7.5600000000000005</v>
      </c>
      <c r="AB88" s="7"/>
      <c r="AC88" s="223">
        <f t="shared" si="6"/>
        <v>0.51</v>
      </c>
      <c r="AD88" s="7" t="str">
        <f>A88</f>
        <v>Соль иодиров.</v>
      </c>
      <c r="AE88" s="7"/>
      <c r="AF88" s="7"/>
      <c r="AG88" s="7"/>
    </row>
    <row r="89" spans="1:33" ht="18" customHeight="1" thickTop="1">
      <c r="A89" s="133"/>
      <c r="B89" s="122"/>
      <c r="C89" s="77" t="s">
        <v>72</v>
      </c>
      <c r="D89" s="287"/>
      <c r="E89" s="268"/>
      <c r="F89" s="112"/>
      <c r="G89" s="106"/>
      <c r="H89" s="112"/>
      <c r="I89" s="106"/>
      <c r="J89" s="112"/>
      <c r="K89" s="106"/>
      <c r="L89" s="106"/>
      <c r="M89" s="106"/>
      <c r="N89" s="106"/>
      <c r="O89" s="106"/>
      <c r="P89" s="112"/>
      <c r="Q89" s="106"/>
      <c r="R89" s="106"/>
      <c r="S89" s="106"/>
      <c r="T89" s="106"/>
      <c r="U89" s="106"/>
      <c r="V89" s="406"/>
      <c r="W89" s="272"/>
      <c r="X89" s="131"/>
      <c r="Y89" s="106"/>
      <c r="Z89" s="125"/>
      <c r="AA89" s="123"/>
      <c r="AB89" s="7"/>
      <c r="AC89" s="224"/>
      <c r="AD89" s="7"/>
      <c r="AE89" s="7"/>
      <c r="AF89" s="7"/>
      <c r="AG89" s="7"/>
    </row>
    <row r="90" spans="1:33" ht="18" customHeight="1" thickBot="1">
      <c r="A90" s="134"/>
      <c r="B90" s="347"/>
      <c r="C90" s="348" t="s">
        <v>73</v>
      </c>
      <c r="D90" s="385"/>
      <c r="E90" s="353"/>
      <c r="F90" s="338"/>
      <c r="G90" s="337"/>
      <c r="H90" s="338"/>
      <c r="I90" s="337"/>
      <c r="J90" s="338"/>
      <c r="K90" s="337"/>
      <c r="L90" s="337"/>
      <c r="M90" s="337"/>
      <c r="N90" s="337"/>
      <c r="O90" s="337"/>
      <c r="P90" s="338"/>
      <c r="Q90" s="337"/>
      <c r="R90" s="337"/>
      <c r="S90" s="337"/>
      <c r="T90" s="337"/>
      <c r="U90" s="372"/>
      <c r="V90" s="835"/>
      <c r="W90" s="350"/>
      <c r="X90" s="341"/>
      <c r="Y90" s="337"/>
      <c r="Z90" s="343">
        <f>ROUND(E90+G90+I90+K90+L90+M90+N90+O90+Q90+R90+S90+T90+U90+W90+X90+Y90,2)</f>
        <v>0</v>
      </c>
      <c r="AA90" s="344">
        <f>Z90*B90</f>
        <v>0</v>
      </c>
      <c r="AB90" s="7"/>
      <c r="AC90" s="223">
        <f t="shared" si="6"/>
        <v>0</v>
      </c>
      <c r="AD90" s="7">
        <f>A90</f>
        <v>0</v>
      </c>
      <c r="AE90" s="7"/>
      <c r="AF90" s="7"/>
      <c r="AG90" s="7"/>
    </row>
    <row r="91" spans="1:33" ht="18" customHeight="1">
      <c r="A91" s="136"/>
      <c r="B91" s="6"/>
      <c r="C91" s="75"/>
      <c r="D91" s="298"/>
      <c r="E91" s="271"/>
      <c r="F91" s="112"/>
      <c r="G91" s="105"/>
      <c r="H91" s="112"/>
      <c r="I91" s="105"/>
      <c r="J91" s="112"/>
      <c r="K91" s="105"/>
      <c r="L91" s="105"/>
      <c r="M91" s="105"/>
      <c r="N91" s="105"/>
      <c r="O91" s="105"/>
      <c r="P91" s="112"/>
      <c r="Q91" s="105"/>
      <c r="R91" s="105"/>
      <c r="S91" s="105"/>
      <c r="T91" s="105"/>
      <c r="U91" s="105"/>
      <c r="V91" s="273"/>
      <c r="W91" s="271"/>
      <c r="X91" s="105"/>
      <c r="Y91" s="105"/>
      <c r="Z91" s="125"/>
      <c r="AA91" s="126">
        <f>AA28+AA30+AA32+AA34+AA36+AA38+AA40+AA42+AA44+AA46+AA48+AA50+AA60+AA62+AA64+AA66+AA68+AA70+AA72+AA74+AA76+AA78+AA80+AA82+AA84+AA86+AA88+AA90</f>
        <v>11341.721700000002</v>
      </c>
      <c r="AB91" s="7"/>
      <c r="AC91" s="7"/>
      <c r="AD91" s="7"/>
      <c r="AE91" s="7"/>
      <c r="AF91" s="7"/>
      <c r="AG91" s="7"/>
    </row>
    <row r="92" spans="1:33" ht="9.75" customHeight="1"/>
    <row r="93" spans="1:33">
      <c r="A93" s="43" t="s">
        <v>316</v>
      </c>
      <c r="S93" s="43" t="s">
        <v>30</v>
      </c>
      <c r="AA93" s="118">
        <f>K13</f>
        <v>11000</v>
      </c>
    </row>
    <row r="94" spans="1:33" ht="9" customHeight="1">
      <c r="A94" s="43" t="s">
        <v>50</v>
      </c>
      <c r="S94" s="43" t="s">
        <v>31</v>
      </c>
    </row>
    <row r="95" spans="1:33" ht="19.5" customHeight="1">
      <c r="A95" s="43" t="s">
        <v>320</v>
      </c>
      <c r="S95" s="43" t="s">
        <v>330</v>
      </c>
    </row>
    <row r="96" spans="1:33" ht="9" customHeight="1">
      <c r="A96" s="43" t="s">
        <v>37</v>
      </c>
      <c r="S96" s="43" t="s">
        <v>31</v>
      </c>
    </row>
    <row r="97" spans="1:28" ht="8.25" customHeight="1">
      <c r="A97" s="3" t="s">
        <v>319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"/>
      <c r="W97" s="10"/>
      <c r="X97" s="10"/>
      <c r="Y97" s="10"/>
      <c r="Z97" s="11"/>
      <c r="AA97" s="11"/>
    </row>
    <row r="98" spans="1:28" ht="18">
      <c r="A98" s="9" t="s">
        <v>2</v>
      </c>
      <c r="B98" s="8"/>
      <c r="C98" s="8"/>
      <c r="D98" s="8"/>
      <c r="E98" s="8"/>
      <c r="F98" s="11"/>
      <c r="G98" s="8"/>
      <c r="H98" s="8"/>
      <c r="I98" s="8"/>
      <c r="J98" s="8"/>
      <c r="K98" s="8"/>
      <c r="L98" s="8"/>
      <c r="M98" s="8"/>
      <c r="N98" s="8"/>
      <c r="O98" s="1060" t="s">
        <v>80</v>
      </c>
      <c r="P98" s="1060"/>
      <c r="Q98" s="1060"/>
      <c r="R98" s="1060"/>
      <c r="S98" s="1060"/>
      <c r="T98" s="1060"/>
      <c r="U98" s="1060"/>
      <c r="V98" s="1060"/>
      <c r="W98" s="1060"/>
      <c r="X98" s="1060"/>
      <c r="Y98" s="1060"/>
      <c r="Z98" s="1060"/>
      <c r="AA98" s="1060"/>
    </row>
    <row r="99" spans="1:28" ht="18">
      <c r="A99" s="819" t="str">
        <f>A4</f>
        <v>"08"   января  2024  г.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1"/>
    </row>
    <row r="100" spans="1:28" ht="2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2"/>
      <c r="P100" s="2"/>
      <c r="Q100" s="2"/>
      <c r="R100" s="2"/>
      <c r="S100" s="2"/>
      <c r="T100" s="1"/>
      <c r="U100" s="7"/>
      <c r="V100" s="7"/>
      <c r="W100" s="7"/>
      <c r="X100" s="7"/>
      <c r="Y100" s="7"/>
    </row>
    <row r="101" spans="1:28" ht="13.5" thickBot="1">
      <c r="A101" s="1048" t="s">
        <v>42</v>
      </c>
      <c r="B101" s="1048"/>
      <c r="C101" s="1048"/>
      <c r="D101" s="788"/>
      <c r="E101" s="1047" t="s">
        <v>35</v>
      </c>
      <c r="F101" s="1048"/>
      <c r="G101" s="1049"/>
      <c r="H101" s="1047" t="s">
        <v>60</v>
      </c>
      <c r="I101" s="1048"/>
      <c r="J101" s="1049"/>
      <c r="K101" s="1047" t="s">
        <v>58</v>
      </c>
      <c r="L101" s="1048"/>
      <c r="M101" s="1048"/>
      <c r="N101" s="31"/>
      <c r="O101" s="21"/>
      <c r="P101" s="31"/>
      <c r="Q101" s="29"/>
      <c r="R101" s="3"/>
      <c r="S101" s="3"/>
      <c r="T101" s="7"/>
      <c r="U101" s="7"/>
      <c r="V101" s="7"/>
      <c r="W101" s="7"/>
      <c r="X101" s="7"/>
      <c r="Y101" s="7"/>
      <c r="Z101" s="7"/>
      <c r="AA101" s="1088" t="s">
        <v>0</v>
      </c>
      <c r="AB101" s="1089"/>
    </row>
    <row r="102" spans="1:28" ht="9" customHeight="1">
      <c r="A102" s="1059" t="s">
        <v>43</v>
      </c>
      <c r="B102" s="1059"/>
      <c r="C102" s="1059"/>
      <c r="D102" s="798"/>
      <c r="E102" s="1065" t="s">
        <v>34</v>
      </c>
      <c r="F102" s="1066"/>
      <c r="G102" s="1067"/>
      <c r="H102" s="1065" t="s">
        <v>12</v>
      </c>
      <c r="I102" s="1066"/>
      <c r="J102" s="1067"/>
      <c r="K102" s="1065" t="s">
        <v>15</v>
      </c>
      <c r="L102" s="1066"/>
      <c r="M102" s="1066"/>
      <c r="N102" s="1065" t="s">
        <v>14</v>
      </c>
      <c r="O102" s="1067"/>
      <c r="P102" s="1065" t="s">
        <v>55</v>
      </c>
      <c r="Q102" s="1066"/>
      <c r="R102" s="863"/>
      <c r="S102" s="1224" t="str">
        <f>S7</f>
        <v xml:space="preserve"> на "09" января  2024 г</v>
      </c>
      <c r="T102" s="1093"/>
      <c r="U102" s="1093"/>
      <c r="V102" s="1093"/>
      <c r="W102" s="1093"/>
      <c r="X102" s="1093"/>
      <c r="Y102" s="1050" t="s">
        <v>190</v>
      </c>
      <c r="Z102" s="1156"/>
      <c r="AA102" s="1090" t="s">
        <v>23</v>
      </c>
      <c r="AB102" s="1091"/>
    </row>
    <row r="103" spans="1:28" ht="13.5" thickBot="1">
      <c r="A103" s="800" t="s">
        <v>44</v>
      </c>
      <c r="B103" s="1047" t="s">
        <v>46</v>
      </c>
      <c r="C103" s="1048"/>
      <c r="D103" s="798"/>
      <c r="E103" s="1065" t="s">
        <v>39</v>
      </c>
      <c r="F103" s="1066"/>
      <c r="G103" s="1067"/>
      <c r="H103" s="1065" t="s">
        <v>49</v>
      </c>
      <c r="I103" s="1066"/>
      <c r="J103" s="1067"/>
      <c r="K103" s="1065" t="s">
        <v>59</v>
      </c>
      <c r="L103" s="1066"/>
      <c r="M103" s="1066"/>
      <c r="N103" s="1065" t="s">
        <v>40</v>
      </c>
      <c r="O103" s="1067"/>
      <c r="P103" s="1065" t="s">
        <v>56</v>
      </c>
      <c r="Q103" s="1066"/>
      <c r="R103" s="863"/>
      <c r="S103" s="1093"/>
      <c r="T103" s="1093"/>
      <c r="U103" s="1093"/>
      <c r="V103" s="1093"/>
      <c r="W103" s="1093"/>
      <c r="X103" s="1093"/>
      <c r="AA103" s="53"/>
      <c r="AB103" s="56"/>
    </row>
    <row r="104" spans="1:28" ht="13.5" thickBot="1">
      <c r="A104" s="799" t="s">
        <v>45</v>
      </c>
      <c r="B104" s="1065" t="s">
        <v>47</v>
      </c>
      <c r="C104" s="1108"/>
      <c r="D104" s="801"/>
      <c r="E104" s="1065" t="s">
        <v>38</v>
      </c>
      <c r="F104" s="1066"/>
      <c r="G104" s="1067"/>
      <c r="H104" s="1065" t="s">
        <v>13</v>
      </c>
      <c r="I104" s="1066"/>
      <c r="J104" s="1067"/>
      <c r="K104" s="1065" t="s">
        <v>38</v>
      </c>
      <c r="L104" s="1066"/>
      <c r="M104" s="1066"/>
      <c r="N104" s="25"/>
      <c r="O104" s="3"/>
      <c r="P104" s="1065" t="s">
        <v>57</v>
      </c>
      <c r="Q104" s="1066"/>
      <c r="R104" s="863"/>
      <c r="S104" s="3" t="s">
        <v>194</v>
      </c>
      <c r="T104" s="548"/>
      <c r="U104" s="548"/>
      <c r="V104" s="120"/>
      <c r="W104" s="120"/>
      <c r="X104" s="120"/>
      <c r="Y104" s="120"/>
      <c r="Z104" s="746" t="s">
        <v>191</v>
      </c>
      <c r="AA104" s="701"/>
      <c r="AB104" s="708"/>
    </row>
    <row r="105" spans="1:28" ht="4.5" customHeight="1">
      <c r="A105" s="17"/>
      <c r="B105" s="1058" t="s">
        <v>48</v>
      </c>
      <c r="C105" s="1059"/>
      <c r="D105" s="798"/>
      <c r="E105" s="797"/>
      <c r="F105" s="3"/>
      <c r="G105" s="30"/>
      <c r="H105" s="3"/>
      <c r="I105" s="3"/>
      <c r="J105" s="30"/>
      <c r="K105" s="1058"/>
      <c r="L105" s="1059"/>
      <c r="M105" s="1059"/>
      <c r="N105" s="25"/>
      <c r="O105" s="3"/>
      <c r="P105" s="25"/>
      <c r="Q105" s="3"/>
      <c r="R105" s="3"/>
      <c r="T105" s="709" t="s">
        <v>96</v>
      </c>
      <c r="Z105" s="32"/>
      <c r="AA105" s="702"/>
      <c r="AB105" s="703"/>
    </row>
    <row r="106" spans="1:28" ht="13.5" thickBot="1">
      <c r="A106" s="58">
        <v>1</v>
      </c>
      <c r="B106" s="62"/>
      <c r="C106" s="63">
        <v>2</v>
      </c>
      <c r="D106" s="292"/>
      <c r="E106" s="789"/>
      <c r="F106" s="789">
        <v>3</v>
      </c>
      <c r="G106" s="790"/>
      <c r="H106" s="789"/>
      <c r="I106" s="789">
        <v>4</v>
      </c>
      <c r="J106" s="790"/>
      <c r="K106" s="789"/>
      <c r="L106" s="789"/>
      <c r="M106" s="789"/>
      <c r="N106" s="792"/>
      <c r="O106" s="789"/>
      <c r="P106" s="1104">
        <v>7</v>
      </c>
      <c r="Q106" s="1221"/>
      <c r="R106" s="866"/>
      <c r="S106" s="1074" t="s">
        <v>307</v>
      </c>
      <c r="T106" s="1061"/>
      <c r="U106" s="1061"/>
      <c r="V106" s="1061"/>
      <c r="W106" s="1061"/>
      <c r="X106" s="1061"/>
      <c r="Y106" s="1061"/>
      <c r="Z106" s="699" t="s">
        <v>199</v>
      </c>
      <c r="AA106" s="705"/>
      <c r="AB106" s="704"/>
    </row>
    <row r="107" spans="1:28">
      <c r="A107" s="37"/>
      <c r="B107" s="38"/>
      <c r="C107" s="38"/>
      <c r="D107" s="38"/>
      <c r="E107" s="38"/>
      <c r="F107" s="38"/>
      <c r="G107" s="39"/>
      <c r="H107" s="38"/>
      <c r="I107" s="38"/>
      <c r="J107" s="39"/>
      <c r="K107" s="38"/>
      <c r="L107" s="38"/>
      <c r="M107" s="38"/>
      <c r="N107" s="40"/>
      <c r="O107" s="39"/>
      <c r="P107" s="41"/>
      <c r="Q107" s="42"/>
      <c r="R107" s="3"/>
      <c r="S107" s="1061"/>
      <c r="T107" s="1061"/>
      <c r="U107" s="1061"/>
      <c r="V107" s="1061"/>
      <c r="W107" s="1061"/>
      <c r="X107" s="1061"/>
      <c r="Y107" s="1061"/>
      <c r="Z107" s="56"/>
      <c r="AA107" s="32"/>
      <c r="AB107" s="610"/>
    </row>
    <row r="108" spans="1:28" ht="16.5" thickBot="1">
      <c r="A108" s="139" t="s">
        <v>219</v>
      </c>
      <c r="B108" s="28"/>
      <c r="C108" s="28"/>
      <c r="D108" s="28"/>
      <c r="E108" s="28"/>
      <c r="F108" s="28"/>
      <c r="G108" s="218">
        <f>G13</f>
        <v>110</v>
      </c>
      <c r="H108" s="28"/>
      <c r="I108" s="140">
        <f>B120</f>
        <v>100</v>
      </c>
      <c r="J108" s="50"/>
      <c r="K108" s="1075">
        <f>G108*I108</f>
        <v>11000</v>
      </c>
      <c r="L108" s="1114"/>
      <c r="M108" s="1114"/>
      <c r="N108" s="1068">
        <f>AA186/B120</f>
        <v>101.54579499999996</v>
      </c>
      <c r="O108" s="1069"/>
      <c r="P108" s="14"/>
      <c r="Q108" s="52"/>
      <c r="R108" s="3"/>
      <c r="S108" s="3"/>
      <c r="T108" s="710" t="str">
        <f>T13</f>
        <v>"Детский сад № 31 г. Ельца"</v>
      </c>
      <c r="U108" s="2"/>
      <c r="V108" s="538"/>
      <c r="W108" s="7"/>
      <c r="X108" s="7"/>
      <c r="Y108" s="7"/>
      <c r="Z108" s="699"/>
      <c r="AA108" s="7"/>
      <c r="AB108" s="704"/>
    </row>
    <row r="109" spans="1:28" ht="9.75" customHeight="1">
      <c r="A109" s="820"/>
      <c r="B109" s="51"/>
      <c r="C109" s="28"/>
      <c r="D109" s="28"/>
      <c r="E109" s="28"/>
      <c r="F109" s="28"/>
      <c r="G109" s="50"/>
      <c r="H109" s="28"/>
      <c r="I109" s="28"/>
      <c r="J109" s="50"/>
      <c r="K109" s="28"/>
      <c r="L109" s="28"/>
      <c r="M109" s="28"/>
      <c r="N109" s="51"/>
      <c r="O109" s="27"/>
      <c r="P109" s="14"/>
      <c r="Q109" s="52"/>
      <c r="R109" s="3"/>
      <c r="S109" s="3"/>
      <c r="T109" s="7"/>
      <c r="U109" s="7"/>
      <c r="Y109" s="32"/>
      <c r="Z109" s="56"/>
      <c r="AA109" s="41"/>
      <c r="AB109" s="707"/>
    </row>
    <row r="110" spans="1:28" ht="19.5" thickBot="1">
      <c r="A110" s="821"/>
      <c r="B110" s="822"/>
      <c r="C110" s="823"/>
      <c r="D110" s="823"/>
      <c r="E110" s="823"/>
      <c r="F110" s="823"/>
      <c r="G110" s="824"/>
      <c r="H110" s="823"/>
      <c r="I110" s="823"/>
      <c r="J110" s="824"/>
      <c r="K110" s="3"/>
      <c r="L110" s="3"/>
      <c r="M110" s="3"/>
      <c r="N110" s="1222">
        <f>N108*B120</f>
        <v>10154.579499999996</v>
      </c>
      <c r="O110" s="1069"/>
      <c r="P110" s="32"/>
      <c r="Q110" s="15"/>
      <c r="R110" s="3"/>
      <c r="S110" s="3" t="s">
        <v>193</v>
      </c>
      <c r="T110" s="7"/>
      <c r="U110" s="7"/>
      <c r="V110" s="549"/>
      <c r="W110" s="711" t="str">
        <f>W15</f>
        <v>Глухова Г.В.</v>
      </c>
      <c r="Z110" s="56"/>
      <c r="AA110" s="66"/>
      <c r="AB110" s="704"/>
    </row>
    <row r="111" spans="1:28" ht="8.25" customHeight="1" thickBot="1">
      <c r="A111" s="3"/>
      <c r="B111" s="3"/>
      <c r="C111" s="3"/>
      <c r="D111" s="3"/>
      <c r="E111" s="3"/>
      <c r="F111" s="3"/>
      <c r="G111" s="3"/>
      <c r="H111" s="3"/>
      <c r="I111" s="3" t="s">
        <v>33</v>
      </c>
      <c r="J111" s="3"/>
      <c r="K111" s="44"/>
      <c r="L111" s="45"/>
      <c r="M111" s="45"/>
      <c r="N111" s="48"/>
      <c r="O111" s="49"/>
      <c r="P111" s="46"/>
      <c r="Q111" s="47"/>
      <c r="R111" s="3"/>
      <c r="S111" s="3"/>
      <c r="T111" s="7"/>
    </row>
    <row r="112" spans="1:28" ht="2.2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7"/>
      <c r="U112" s="7"/>
      <c r="V112" s="7"/>
      <c r="W112" s="7"/>
      <c r="X112" s="7"/>
      <c r="Y112" s="7"/>
      <c r="Z112" s="8"/>
      <c r="AA112" s="8"/>
    </row>
    <row r="113" spans="1:27">
      <c r="A113" s="26" t="s">
        <v>53</v>
      </c>
      <c r="B113" s="20"/>
      <c r="C113" s="65"/>
      <c r="D113" s="65"/>
      <c r="E113" s="14"/>
      <c r="F113" s="14"/>
      <c r="G113" s="14"/>
      <c r="H113" s="14"/>
      <c r="I113" s="14"/>
      <c r="J113" s="14"/>
      <c r="K113" s="14"/>
      <c r="L113" s="14"/>
      <c r="M113" s="14"/>
      <c r="N113" s="28" t="s">
        <v>41</v>
      </c>
      <c r="O113" s="14"/>
      <c r="P113" s="14"/>
      <c r="Q113" s="14"/>
      <c r="R113" s="14"/>
      <c r="S113" s="28"/>
      <c r="T113" s="28"/>
      <c r="U113" s="14"/>
      <c r="V113" s="14"/>
      <c r="W113" s="14"/>
      <c r="X113" s="14"/>
      <c r="Y113" s="14"/>
      <c r="Z113" s="1047" t="s">
        <v>8</v>
      </c>
      <c r="AA113" s="1048"/>
    </row>
    <row r="114" spans="1:27">
      <c r="A114" s="800"/>
      <c r="B114" s="19"/>
      <c r="C114" s="5" t="s">
        <v>52</v>
      </c>
      <c r="D114" s="787"/>
      <c r="E114" s="1052" t="s">
        <v>108</v>
      </c>
      <c r="F114" s="1084"/>
      <c r="G114" s="1084"/>
      <c r="H114" s="1084"/>
      <c r="I114" s="1084"/>
      <c r="J114" s="1084"/>
      <c r="K114" s="1223"/>
      <c r="L114" s="789" t="s">
        <v>69</v>
      </c>
      <c r="M114" s="789"/>
      <c r="N114" s="1052"/>
      <c r="O114" s="1052"/>
      <c r="P114" s="1052"/>
      <c r="Q114" s="1052"/>
      <c r="R114" s="1052"/>
      <c r="S114" s="1052"/>
      <c r="T114" s="1053"/>
      <c r="U114" s="1056" t="s">
        <v>17</v>
      </c>
      <c r="V114" s="1052"/>
      <c r="W114" s="1052"/>
      <c r="X114" s="1052"/>
      <c r="Y114" s="1052"/>
      <c r="Z114" s="1058" t="s">
        <v>3</v>
      </c>
      <c r="AA114" s="1059"/>
    </row>
    <row r="115" spans="1:27" ht="3" customHeight="1">
      <c r="A115" s="799"/>
      <c r="B115" s="5"/>
      <c r="C115" s="5" t="s">
        <v>51</v>
      </c>
      <c r="D115" s="798"/>
      <c r="E115" s="1054"/>
      <c r="F115" s="1054"/>
      <c r="G115" s="1054"/>
      <c r="H115" s="1054"/>
      <c r="I115" s="1054"/>
      <c r="J115" s="1054"/>
      <c r="K115" s="1055"/>
      <c r="L115" s="791"/>
      <c r="M115" s="791"/>
      <c r="N115" s="1054"/>
      <c r="O115" s="1054"/>
      <c r="P115" s="1054"/>
      <c r="Q115" s="1054"/>
      <c r="R115" s="1054"/>
      <c r="S115" s="1054"/>
      <c r="T115" s="1055"/>
      <c r="U115" s="1057"/>
      <c r="V115" s="1054"/>
      <c r="W115" s="1054"/>
      <c r="X115" s="1054"/>
      <c r="Y115" s="1054"/>
      <c r="Z115" s="1047" t="s">
        <v>36</v>
      </c>
      <c r="AA115" s="1048"/>
    </row>
    <row r="116" spans="1:27" ht="12.75" customHeight="1">
      <c r="A116" s="799" t="s">
        <v>54</v>
      </c>
      <c r="B116" s="5"/>
      <c r="C116" s="70" t="s">
        <v>9</v>
      </c>
      <c r="D116" s="1101" t="s">
        <v>168</v>
      </c>
      <c r="E116" s="1081" t="s">
        <v>169</v>
      </c>
      <c r="F116" s="1107" t="s">
        <v>179</v>
      </c>
      <c r="G116" s="1218" t="s">
        <v>180</v>
      </c>
      <c r="H116" s="1041" t="s">
        <v>118</v>
      </c>
      <c r="I116" s="1038"/>
      <c r="J116" s="1107" t="s">
        <v>243</v>
      </c>
      <c r="K116" s="1157"/>
      <c r="L116" s="1044" t="s">
        <v>171</v>
      </c>
      <c r="M116" s="1041" t="s">
        <v>131</v>
      </c>
      <c r="N116" s="1070" t="s">
        <v>235</v>
      </c>
      <c r="O116" s="1070" t="s">
        <v>295</v>
      </c>
      <c r="P116" s="1107" t="s">
        <v>244</v>
      </c>
      <c r="Q116" s="1157"/>
      <c r="R116" s="1070" t="s">
        <v>252</v>
      </c>
      <c r="S116" s="1041" t="s">
        <v>135</v>
      </c>
      <c r="T116" s="1070" t="s">
        <v>68</v>
      </c>
      <c r="U116" s="1157" t="s">
        <v>245</v>
      </c>
      <c r="V116" s="1107" t="s">
        <v>246</v>
      </c>
      <c r="W116" s="1157" t="s">
        <v>247</v>
      </c>
      <c r="X116" s="1070" t="s">
        <v>248</v>
      </c>
      <c r="Y116" s="1157" t="s">
        <v>70</v>
      </c>
      <c r="Z116" s="24"/>
      <c r="AA116" s="802"/>
    </row>
    <row r="117" spans="1:27">
      <c r="A117" s="799"/>
      <c r="B117" s="5"/>
      <c r="C117" s="70" t="s">
        <v>10</v>
      </c>
      <c r="D117" s="1102"/>
      <c r="E117" s="1082"/>
      <c r="F117" s="1160"/>
      <c r="G117" s="1219"/>
      <c r="H117" s="1042"/>
      <c r="I117" s="1039"/>
      <c r="J117" s="1160"/>
      <c r="K117" s="1158"/>
      <c r="L117" s="1045"/>
      <c r="M117" s="1042"/>
      <c r="N117" s="1071"/>
      <c r="O117" s="1071"/>
      <c r="P117" s="1160"/>
      <c r="Q117" s="1158"/>
      <c r="R117" s="1130"/>
      <c r="S117" s="1042"/>
      <c r="T117" s="1071"/>
      <c r="U117" s="1158"/>
      <c r="V117" s="1160"/>
      <c r="W117" s="1158"/>
      <c r="X117" s="1071"/>
      <c r="Y117" s="1158"/>
      <c r="Z117" s="19" t="s">
        <v>6</v>
      </c>
      <c r="AA117" s="798" t="s">
        <v>4</v>
      </c>
    </row>
    <row r="118" spans="1:27" ht="87.75" customHeight="1">
      <c r="A118" s="796"/>
      <c r="B118" s="4"/>
      <c r="C118" s="71"/>
      <c r="D118" s="1103"/>
      <c r="E118" s="1083"/>
      <c r="F118" s="1161"/>
      <c r="G118" s="1220"/>
      <c r="H118" s="1043"/>
      <c r="I118" s="1040"/>
      <c r="J118" s="1161"/>
      <c r="K118" s="1159"/>
      <c r="L118" s="1046"/>
      <c r="M118" s="1043"/>
      <c r="N118" s="1072"/>
      <c r="O118" s="1072"/>
      <c r="P118" s="1161"/>
      <c r="Q118" s="1159"/>
      <c r="R118" s="1217"/>
      <c r="S118" s="1043"/>
      <c r="T118" s="1071"/>
      <c r="U118" s="1159"/>
      <c r="V118" s="1161"/>
      <c r="W118" s="1159"/>
      <c r="X118" s="1072"/>
      <c r="Y118" s="1159"/>
      <c r="Z118" s="4" t="s">
        <v>7</v>
      </c>
      <c r="AA118" s="793" t="s">
        <v>5</v>
      </c>
    </row>
    <row r="119" spans="1:27" ht="11.25" customHeight="1">
      <c r="A119" s="64">
        <v>1</v>
      </c>
      <c r="B119" s="867">
        <v>2</v>
      </c>
      <c r="C119" s="72">
        <v>3</v>
      </c>
      <c r="D119" s="86">
        <v>4</v>
      </c>
      <c r="E119" s="80">
        <v>5</v>
      </c>
      <c r="F119" s="86">
        <v>6</v>
      </c>
      <c r="G119" s="865">
        <v>7</v>
      </c>
      <c r="H119" s="87">
        <v>8</v>
      </c>
      <c r="I119" s="80">
        <v>9</v>
      </c>
      <c r="J119" s="82">
        <v>10</v>
      </c>
      <c r="K119" s="95">
        <v>11</v>
      </c>
      <c r="L119" s="96">
        <v>12</v>
      </c>
      <c r="M119" s="96">
        <v>13</v>
      </c>
      <c r="N119" s="871">
        <v>14</v>
      </c>
      <c r="O119" s="680">
        <v>15</v>
      </c>
      <c r="P119" s="872">
        <v>16</v>
      </c>
      <c r="Q119" s="873">
        <v>17</v>
      </c>
      <c r="R119" s="81">
        <v>18</v>
      </c>
      <c r="S119" s="874">
        <v>19</v>
      </c>
      <c r="T119" s="98">
        <v>20</v>
      </c>
      <c r="U119" s="80">
        <v>21</v>
      </c>
      <c r="V119" s="868">
        <v>22</v>
      </c>
      <c r="W119" s="95">
        <v>23</v>
      </c>
      <c r="X119" s="81">
        <v>24</v>
      </c>
      <c r="Y119" s="96">
        <v>25</v>
      </c>
      <c r="Z119" s="35">
        <v>26</v>
      </c>
      <c r="AA119" s="864">
        <v>27</v>
      </c>
    </row>
    <row r="120" spans="1:27" ht="15.75">
      <c r="A120" s="16" t="s">
        <v>18</v>
      </c>
      <c r="B120" s="221">
        <v>100</v>
      </c>
      <c r="C120" s="73"/>
      <c r="D120" s="89">
        <f>F120</f>
        <v>100</v>
      </c>
      <c r="E120" s="99">
        <f>B120</f>
        <v>100</v>
      </c>
      <c r="F120" s="222">
        <v>100</v>
      </c>
      <c r="G120" s="99">
        <f>B120</f>
        <v>100</v>
      </c>
      <c r="H120" s="89">
        <f>F120</f>
        <v>100</v>
      </c>
      <c r="I120" s="99">
        <f>B120</f>
        <v>100</v>
      </c>
      <c r="J120" s="109">
        <f>F120</f>
        <v>100</v>
      </c>
      <c r="K120" s="99">
        <f>B120</f>
        <v>100</v>
      </c>
      <c r="L120" s="99">
        <f>B120</f>
        <v>100</v>
      </c>
      <c r="M120" s="99">
        <f>B120</f>
        <v>100</v>
      </c>
      <c r="N120" s="99">
        <f>B120</f>
        <v>100</v>
      </c>
      <c r="O120" s="99">
        <f>B120</f>
        <v>100</v>
      </c>
      <c r="P120" s="109">
        <f>F120</f>
        <v>100</v>
      </c>
      <c r="Q120" s="99">
        <f>B120</f>
        <v>100</v>
      </c>
      <c r="R120" s="99">
        <f>B120</f>
        <v>100</v>
      </c>
      <c r="S120" s="99">
        <f>B120</f>
        <v>100</v>
      </c>
      <c r="T120" s="99">
        <f>B120</f>
        <v>100</v>
      </c>
      <c r="U120" s="99">
        <f>B120</f>
        <v>100</v>
      </c>
      <c r="V120" s="466">
        <f>F120</f>
        <v>100</v>
      </c>
      <c r="W120" s="99">
        <f>B120</f>
        <v>100</v>
      </c>
      <c r="X120" s="99">
        <f>B120</f>
        <v>100</v>
      </c>
      <c r="Y120" s="99">
        <f>B120</f>
        <v>100</v>
      </c>
      <c r="Z120" s="12" t="s">
        <v>66</v>
      </c>
      <c r="AA120" s="68" t="s">
        <v>64</v>
      </c>
    </row>
    <row r="121" spans="1:27" ht="16.5" thickBot="1">
      <c r="A121" s="59" t="s">
        <v>19</v>
      </c>
      <c r="B121" s="60"/>
      <c r="C121" s="74"/>
      <c r="D121" s="286">
        <v>25</v>
      </c>
      <c r="E121" s="119">
        <f>D121*F120/B120</f>
        <v>25</v>
      </c>
      <c r="F121" s="91">
        <v>156</v>
      </c>
      <c r="G121" s="119">
        <f>F121*F120/B120</f>
        <v>156</v>
      </c>
      <c r="H121" s="91">
        <v>150</v>
      </c>
      <c r="I121" s="119">
        <f>H121*H120/B120</f>
        <v>150</v>
      </c>
      <c r="J121" s="111">
        <v>48</v>
      </c>
      <c r="K121" s="119">
        <f>J121*J120/B120</f>
        <v>48</v>
      </c>
      <c r="L121" s="643">
        <f>L165/B120*1000</f>
        <v>10</v>
      </c>
      <c r="M121" s="119">
        <f>M145/B120*1000</f>
        <v>100</v>
      </c>
      <c r="N121" s="100">
        <v>180</v>
      </c>
      <c r="O121" s="119">
        <f>O133/B120/0.00236</f>
        <v>10</v>
      </c>
      <c r="P121" s="110">
        <v>140</v>
      </c>
      <c r="Q121" s="119">
        <f>P121*P120/B120</f>
        <v>140</v>
      </c>
      <c r="R121" s="119">
        <v>20</v>
      </c>
      <c r="S121" s="100">
        <v>150</v>
      </c>
      <c r="T121" s="119">
        <f>T167/B120*1000</f>
        <v>30</v>
      </c>
      <c r="U121" s="100">
        <v>30</v>
      </c>
      <c r="V121" s="465">
        <v>100</v>
      </c>
      <c r="W121" s="119">
        <f>V121*V120/B120</f>
        <v>100</v>
      </c>
      <c r="X121" s="100">
        <v>153.5</v>
      </c>
      <c r="Y121" s="119">
        <f>Y169/B120*1000</f>
        <v>10</v>
      </c>
      <c r="Z121" s="61"/>
      <c r="AA121" s="69"/>
    </row>
    <row r="122" spans="1:27" ht="15" customHeight="1" thickTop="1">
      <c r="A122" s="133"/>
      <c r="B122" s="5" t="s">
        <v>65</v>
      </c>
      <c r="C122" s="77" t="s">
        <v>72</v>
      </c>
      <c r="D122" s="287"/>
      <c r="E122" s="88"/>
      <c r="F122" s="92"/>
      <c r="G122" s="88"/>
      <c r="H122" s="107"/>
      <c r="I122" s="88"/>
      <c r="J122" s="108"/>
      <c r="K122" s="88"/>
      <c r="L122" s="88"/>
      <c r="M122" s="88"/>
      <c r="N122" s="88"/>
      <c r="O122" s="88"/>
      <c r="P122" s="177">
        <f>56.2/140*P121</f>
        <v>56.2</v>
      </c>
      <c r="Q122" s="129">
        <f>P122/P121*Q121</f>
        <v>56.2</v>
      </c>
      <c r="R122" s="129"/>
      <c r="S122" s="88"/>
      <c r="T122" s="88"/>
      <c r="U122" s="88"/>
      <c r="V122" s="428"/>
      <c r="W122" s="88"/>
      <c r="X122" s="88"/>
      <c r="Y122" s="88"/>
      <c r="Z122" s="78"/>
      <c r="AA122" s="79"/>
    </row>
    <row r="123" spans="1:27" ht="16.5" thickBot="1">
      <c r="A123" s="346" t="str">
        <f>A28</f>
        <v>Фарш говяжий</v>
      </c>
      <c r="B123" s="347">
        <f>B28</f>
        <v>288</v>
      </c>
      <c r="C123" s="348" t="s">
        <v>73</v>
      </c>
      <c r="D123" s="385"/>
      <c r="E123" s="350"/>
      <c r="F123" s="363"/>
      <c r="G123" s="350"/>
      <c r="H123" s="349"/>
      <c r="I123" s="350"/>
      <c r="J123" s="349"/>
      <c r="K123" s="350"/>
      <c r="L123" s="350"/>
      <c r="M123" s="350"/>
      <c r="N123" s="350"/>
      <c r="O123" s="350"/>
      <c r="P123" s="349">
        <f>P122*P120/1000</f>
        <v>5.62</v>
      </c>
      <c r="Q123" s="341">
        <f>P123</f>
        <v>5.62</v>
      </c>
      <c r="R123" s="341"/>
      <c r="S123" s="350"/>
      <c r="T123" s="350"/>
      <c r="U123" s="350"/>
      <c r="V123" s="360"/>
      <c r="W123" s="350"/>
      <c r="X123" s="350"/>
      <c r="Y123" s="350"/>
      <c r="Z123" s="343">
        <f>ROUND(E123+G123+I123+K123+L123+M123+N123+O123+Q123+R123+S123+T123+U123+W123+X123+Y123,2)</f>
        <v>5.62</v>
      </c>
      <c r="AA123" s="368">
        <f>Z123*B123</f>
        <v>1618.56</v>
      </c>
    </row>
    <row r="124" spans="1:27" ht="15" customHeight="1" thickTop="1">
      <c r="A124" s="133"/>
      <c r="B124" s="215"/>
      <c r="C124" s="77" t="s">
        <v>72</v>
      </c>
      <c r="D124" s="90">
        <v>5</v>
      </c>
      <c r="E124" s="129">
        <f>D124/D121*E121</f>
        <v>5</v>
      </c>
      <c r="F124" s="90">
        <v>3</v>
      </c>
      <c r="G124" s="129">
        <f>F124/F121*G121</f>
        <v>3</v>
      </c>
      <c r="H124" s="108"/>
      <c r="I124" s="88"/>
      <c r="J124" s="108"/>
      <c r="K124" s="88"/>
      <c r="L124" s="88"/>
      <c r="M124" s="88"/>
      <c r="N124" s="131">
        <v>0.7</v>
      </c>
      <c r="O124" s="88"/>
      <c r="P124" s="177">
        <f>3.9/140*P121</f>
        <v>3.9000000000000004</v>
      </c>
      <c r="Q124" s="129">
        <f>P124/P121*Q121</f>
        <v>3.9000000000000004</v>
      </c>
      <c r="R124" s="129"/>
      <c r="S124" s="88"/>
      <c r="T124" s="88"/>
      <c r="U124" s="131"/>
      <c r="V124" s="892">
        <f>2.9/100*V121</f>
        <v>2.9</v>
      </c>
      <c r="W124" s="629">
        <f>V124/V121*W121</f>
        <v>2.9</v>
      </c>
      <c r="X124" s="88"/>
      <c r="Y124" s="88"/>
      <c r="Z124" s="125"/>
      <c r="AA124" s="123"/>
    </row>
    <row r="125" spans="1:27" ht="16.5" thickBot="1">
      <c r="A125" s="134" t="str">
        <f>A30</f>
        <v>Масло слив.</v>
      </c>
      <c r="B125" s="347">
        <f>B30</f>
        <v>595</v>
      </c>
      <c r="C125" s="348" t="s">
        <v>73</v>
      </c>
      <c r="D125" s="363">
        <f>ROUND(D124*F120/1000,2)</f>
        <v>0.5</v>
      </c>
      <c r="E125" s="341">
        <f>D125</f>
        <v>0.5</v>
      </c>
      <c r="F125" s="363">
        <f>F124*F120/1000</f>
        <v>0.3</v>
      </c>
      <c r="G125" s="341">
        <f>ROUND(F125,2)</f>
        <v>0.3</v>
      </c>
      <c r="H125" s="349"/>
      <c r="I125" s="350"/>
      <c r="J125" s="349"/>
      <c r="K125" s="350"/>
      <c r="L125" s="350"/>
      <c r="M125" s="350"/>
      <c r="N125" s="341">
        <f>ROUND(N124*B120/1000,2)</f>
        <v>7.0000000000000007E-2</v>
      </c>
      <c r="O125" s="350"/>
      <c r="P125" s="363">
        <f>P124*P120/1000</f>
        <v>0.39000000000000007</v>
      </c>
      <c r="Q125" s="341">
        <f>P125</f>
        <v>0.39000000000000007</v>
      </c>
      <c r="R125" s="350"/>
      <c r="S125" s="350"/>
      <c r="T125" s="350"/>
      <c r="U125" s="350"/>
      <c r="V125" s="349">
        <f>V124*V120/1000</f>
        <v>0.28999999999999998</v>
      </c>
      <c r="W125" s="341">
        <f>W124*B120/1000</f>
        <v>0.28999999999999998</v>
      </c>
      <c r="X125" s="350"/>
      <c r="Y125" s="350"/>
      <c r="Z125" s="343">
        <f>ROUND(E125+G125+I125+K125+L125+M125+N125+O125+Q125+R125+S125+T125+U125+W125+X125+Y125,2)</f>
        <v>1.55</v>
      </c>
      <c r="AA125" s="344">
        <f>Z125*B125</f>
        <v>922.25</v>
      </c>
    </row>
    <row r="126" spans="1:27" ht="15" customHeight="1" thickTop="1">
      <c r="A126" s="133"/>
      <c r="B126" s="213"/>
      <c r="C126" s="427" t="s">
        <v>72</v>
      </c>
      <c r="D126" s="287"/>
      <c r="E126" s="88"/>
      <c r="F126" s="90"/>
      <c r="G126" s="88"/>
      <c r="H126" s="108"/>
      <c r="I126" s="88"/>
      <c r="J126" s="108"/>
      <c r="K126" s="88"/>
      <c r="L126" s="88"/>
      <c r="M126" s="88"/>
      <c r="N126" s="131">
        <v>1.6</v>
      </c>
      <c r="O126" s="131"/>
      <c r="P126" s="177"/>
      <c r="Q126" s="129"/>
      <c r="R126" s="129"/>
      <c r="S126" s="88"/>
      <c r="T126" s="88"/>
      <c r="U126" s="131">
        <v>1.5</v>
      </c>
      <c r="V126" s="892"/>
      <c r="W126" s="629"/>
      <c r="X126" s="88"/>
      <c r="Y126" s="88"/>
      <c r="Z126" s="125"/>
      <c r="AA126" s="123"/>
    </row>
    <row r="127" spans="1:27" ht="16.5" thickBot="1">
      <c r="A127" s="134" t="str">
        <f>A32</f>
        <v>Масло раст.</v>
      </c>
      <c r="B127" s="347">
        <f>B32</f>
        <v>104.42</v>
      </c>
      <c r="C127" s="348" t="s">
        <v>73</v>
      </c>
      <c r="D127" s="385"/>
      <c r="E127" s="350"/>
      <c r="F127" s="363"/>
      <c r="G127" s="350"/>
      <c r="H127" s="349"/>
      <c r="I127" s="350"/>
      <c r="J127" s="349"/>
      <c r="K127" s="350"/>
      <c r="L127" s="350"/>
      <c r="M127" s="350"/>
      <c r="N127" s="341">
        <f>N126*N120/1000</f>
        <v>0.16</v>
      </c>
      <c r="O127" s="341"/>
      <c r="P127" s="349"/>
      <c r="Q127" s="350"/>
      <c r="R127" s="350"/>
      <c r="S127" s="350"/>
      <c r="T127" s="350"/>
      <c r="U127" s="372">
        <f>U126*B120/1000</f>
        <v>0.15</v>
      </c>
      <c r="V127" s="349"/>
      <c r="W127" s="341"/>
      <c r="X127" s="350"/>
      <c r="Y127" s="350"/>
      <c r="Z127" s="343">
        <f>ROUND(E127+G127+I127+K127+L127+M127+N127+O127+Q127+R127+S127+T127+U127+W127+X127+Y127,2)</f>
        <v>0.31</v>
      </c>
      <c r="AA127" s="344">
        <f>Z127*B127</f>
        <v>32.370199999999997</v>
      </c>
    </row>
    <row r="128" spans="1:27" ht="15" customHeight="1" thickTop="1">
      <c r="A128" s="133"/>
      <c r="B128" s="213"/>
      <c r="C128" s="427" t="s">
        <v>72</v>
      </c>
      <c r="D128" s="287"/>
      <c r="E128" s="88"/>
      <c r="F128" s="90">
        <v>129</v>
      </c>
      <c r="G128" s="129">
        <f>F128/F121*G121</f>
        <v>129</v>
      </c>
      <c r="H128" s="108">
        <v>75</v>
      </c>
      <c r="I128" s="129">
        <f>H128/H121*I121</f>
        <v>75</v>
      </c>
      <c r="J128" s="108"/>
      <c r="K128" s="88"/>
      <c r="L128" s="88"/>
      <c r="M128" s="88"/>
      <c r="N128" s="131">
        <v>9.6999999999999993</v>
      </c>
      <c r="O128" s="88"/>
      <c r="P128" s="177"/>
      <c r="Q128" s="129"/>
      <c r="R128" s="129"/>
      <c r="S128" s="88"/>
      <c r="T128" s="88"/>
      <c r="U128" s="88"/>
      <c r="V128" s="892"/>
      <c r="W128" s="629"/>
      <c r="X128" s="131"/>
      <c r="Y128" s="88"/>
      <c r="Z128" s="125"/>
      <c r="AA128" s="123"/>
    </row>
    <row r="129" spans="1:27" ht="16.5" thickBot="1">
      <c r="A129" s="134" t="str">
        <f>A34</f>
        <v>Молоко св.</v>
      </c>
      <c r="B129" s="347">
        <f>B34</f>
        <v>67.8</v>
      </c>
      <c r="C129" s="348" t="s">
        <v>73</v>
      </c>
      <c r="D129" s="385"/>
      <c r="E129" s="350"/>
      <c r="F129" s="363">
        <f>F128*F120/1000</f>
        <v>12.9</v>
      </c>
      <c r="G129" s="365">
        <f>F129</f>
        <v>12.9</v>
      </c>
      <c r="H129" s="349">
        <f>H128*F120/1000</f>
        <v>7.5</v>
      </c>
      <c r="I129" s="365">
        <f>H129</f>
        <v>7.5</v>
      </c>
      <c r="J129" s="349"/>
      <c r="K129" s="350"/>
      <c r="L129" s="350"/>
      <c r="M129" s="350"/>
      <c r="N129" s="365">
        <f>N128*B120/1000</f>
        <v>0.96999999999999986</v>
      </c>
      <c r="O129" s="350"/>
      <c r="P129" s="377"/>
      <c r="Q129" s="350"/>
      <c r="R129" s="350"/>
      <c r="S129" s="350"/>
      <c r="T129" s="350"/>
      <c r="U129" s="350"/>
      <c r="V129" s="349"/>
      <c r="W129" s="341"/>
      <c r="X129" s="341"/>
      <c r="Y129" s="350"/>
      <c r="Z129" s="356">
        <f>ROUND(E129+G129+I129+K129+L129+M129+N129+O129+Q129+R129+S129+T129+U129+W129+X129+Y129,3)</f>
        <v>21.37</v>
      </c>
      <c r="AA129" s="344">
        <f>Z129*B129</f>
        <v>1448.886</v>
      </c>
    </row>
    <row r="130" spans="1:27" ht="15.75" customHeight="1" thickTop="1">
      <c r="A130" s="133"/>
      <c r="B130" s="215"/>
      <c r="C130" s="77" t="s">
        <v>72</v>
      </c>
      <c r="D130" s="287"/>
      <c r="E130" s="88"/>
      <c r="F130" s="90"/>
      <c r="G130" s="88"/>
      <c r="H130" s="108"/>
      <c r="I130" s="88"/>
      <c r="J130" s="108"/>
      <c r="K130" s="88"/>
      <c r="L130" s="88"/>
      <c r="M130" s="88"/>
      <c r="N130" s="88"/>
      <c r="O130" s="129"/>
      <c r="P130" s="177"/>
      <c r="Q130" s="88"/>
      <c r="R130" s="88"/>
      <c r="S130" s="88"/>
      <c r="T130" s="88"/>
      <c r="U130" s="88"/>
      <c r="V130" s="890">
        <f>35.4/100*V121</f>
        <v>35.4</v>
      </c>
      <c r="W130" s="129">
        <f>V130/V121*W121</f>
        <v>35.4</v>
      </c>
      <c r="X130" s="88"/>
      <c r="Y130" s="88"/>
      <c r="Z130" s="125"/>
      <c r="AA130" s="123"/>
    </row>
    <row r="131" spans="1:27" ht="16.5" thickBot="1">
      <c r="A131" s="134" t="str">
        <f>A36</f>
        <v>Печень  гов.</v>
      </c>
      <c r="B131" s="347">
        <f>B36</f>
        <v>267.8</v>
      </c>
      <c r="C131" s="348" t="s">
        <v>73</v>
      </c>
      <c r="D131" s="385"/>
      <c r="E131" s="350"/>
      <c r="F131" s="363"/>
      <c r="G131" s="350"/>
      <c r="H131" s="349"/>
      <c r="I131" s="350"/>
      <c r="J131" s="349"/>
      <c r="K131" s="350"/>
      <c r="L131" s="350"/>
      <c r="M131" s="350"/>
      <c r="N131" s="350"/>
      <c r="O131" s="341"/>
      <c r="P131" s="349"/>
      <c r="Q131" s="350"/>
      <c r="R131" s="350"/>
      <c r="S131" s="350"/>
      <c r="T131" s="350"/>
      <c r="U131" s="350"/>
      <c r="V131" s="363">
        <f>V130*V120/1000</f>
        <v>3.54</v>
      </c>
      <c r="W131" s="341">
        <f>V131</f>
        <v>3.54</v>
      </c>
      <c r="X131" s="350"/>
      <c r="Y131" s="350"/>
      <c r="Z131" s="343">
        <f>ROUND(E131+G131+I131+K131+L131+M131+N131+O131+Q131+R131+S131+T131+U131+W131+X131+Y131,2)</f>
        <v>3.54</v>
      </c>
      <c r="AA131" s="344">
        <f>Z131*B131</f>
        <v>948.01200000000006</v>
      </c>
    </row>
    <row r="132" spans="1:27" ht="15" customHeight="1" thickTop="1">
      <c r="A132" s="133"/>
      <c r="B132" s="213"/>
      <c r="C132" s="427" t="s">
        <v>72</v>
      </c>
      <c r="D132" s="287"/>
      <c r="E132" s="88"/>
      <c r="F132" s="90"/>
      <c r="G132" s="88"/>
      <c r="H132" s="108"/>
      <c r="I132" s="88"/>
      <c r="J132" s="108"/>
      <c r="K132" s="88"/>
      <c r="L132" s="88"/>
      <c r="M132" s="88"/>
      <c r="N132" s="131"/>
      <c r="O132" s="113">
        <f>O133/B120*1000</f>
        <v>23.599999999999998</v>
      </c>
      <c r="P132" s="177"/>
      <c r="Q132" s="88"/>
      <c r="R132" s="88"/>
      <c r="S132" s="88"/>
      <c r="T132" s="88"/>
      <c r="U132" s="88"/>
      <c r="V132" s="591"/>
      <c r="W132" s="498"/>
      <c r="X132" s="88"/>
      <c r="Y132" s="88"/>
      <c r="Z132" s="125"/>
      <c r="AA132" s="123"/>
    </row>
    <row r="133" spans="1:27" ht="16.5" thickBot="1">
      <c r="A133" s="134" t="str">
        <f>A38</f>
        <v>Цыплята бр.</v>
      </c>
      <c r="B133" s="347">
        <f>B38</f>
        <v>210</v>
      </c>
      <c r="C133" s="348" t="s">
        <v>73</v>
      </c>
      <c r="D133" s="385"/>
      <c r="E133" s="350"/>
      <c r="F133" s="363"/>
      <c r="G133" s="350"/>
      <c r="H133" s="349"/>
      <c r="I133" s="350"/>
      <c r="J133" s="349"/>
      <c r="K133" s="350"/>
      <c r="L133" s="350"/>
      <c r="M133" s="350"/>
      <c r="N133" s="341"/>
      <c r="O133" s="365">
        <v>2.36</v>
      </c>
      <c r="P133" s="349"/>
      <c r="Q133" s="350"/>
      <c r="R133" s="350"/>
      <c r="S133" s="350"/>
      <c r="T133" s="350"/>
      <c r="U133" s="350"/>
      <c r="V133" s="360"/>
      <c r="W133" s="350"/>
      <c r="X133" s="350"/>
      <c r="Y133" s="350"/>
      <c r="Z133" s="356">
        <f>ROUND(E133+G133+I133+K133+L133+M133+N133+O133+Q133+R133+S133+T133+U133+W133+X133+Y133,3)</f>
        <v>2.36</v>
      </c>
      <c r="AA133" s="344">
        <f>Z133*B133</f>
        <v>495.59999999999997</v>
      </c>
    </row>
    <row r="134" spans="1:27" ht="15" customHeight="1" thickTop="1">
      <c r="A134" s="133"/>
      <c r="B134" s="213"/>
      <c r="C134" s="427" t="s">
        <v>72</v>
      </c>
      <c r="D134" s="287"/>
      <c r="E134" s="88"/>
      <c r="F134" s="90"/>
      <c r="G134" s="88"/>
      <c r="H134" s="108"/>
      <c r="I134" s="88"/>
      <c r="J134" s="108"/>
      <c r="K134" s="88"/>
      <c r="L134" s="88"/>
      <c r="M134" s="88"/>
      <c r="N134" s="131">
        <v>6.2</v>
      </c>
      <c r="O134" s="131"/>
      <c r="P134" s="177"/>
      <c r="Q134" s="129"/>
      <c r="R134" s="131">
        <v>1.35</v>
      </c>
      <c r="S134" s="88"/>
      <c r="T134" s="88"/>
      <c r="U134" s="131"/>
      <c r="V134" s="890"/>
      <c r="W134" s="129"/>
      <c r="X134" s="88"/>
      <c r="Y134" s="88"/>
      <c r="Z134" s="125"/>
      <c r="AA134" s="123"/>
    </row>
    <row r="135" spans="1:27" ht="16.5" thickBot="1">
      <c r="A135" s="134" t="str">
        <f>A40</f>
        <v>Мука пшен.</v>
      </c>
      <c r="B135" s="347">
        <f>B40</f>
        <v>29.08</v>
      </c>
      <c r="C135" s="348" t="s">
        <v>73</v>
      </c>
      <c r="D135" s="385"/>
      <c r="E135" s="350"/>
      <c r="F135" s="363"/>
      <c r="G135" s="350"/>
      <c r="H135" s="349"/>
      <c r="I135" s="350"/>
      <c r="J135" s="349"/>
      <c r="K135" s="350"/>
      <c r="L135" s="350"/>
      <c r="M135" s="350"/>
      <c r="N135" s="341">
        <f>N134*B120/1000</f>
        <v>0.62</v>
      </c>
      <c r="O135" s="341">
        <f>O134*B120/1000</f>
        <v>0</v>
      </c>
      <c r="P135" s="349"/>
      <c r="Q135" s="350"/>
      <c r="R135" s="341">
        <f>R134*B120/1000</f>
        <v>0.13500000000000001</v>
      </c>
      <c r="S135" s="350"/>
      <c r="T135" s="350"/>
      <c r="U135" s="350"/>
      <c r="V135" s="349"/>
      <c r="W135" s="341"/>
      <c r="X135" s="350"/>
      <c r="Y135" s="350"/>
      <c r="Z135" s="343">
        <f>ROUND(E135+G135+I135+K135+L135+M135+N135+O135+Q135+R135+S135+T135+U135+W135+X135+Y135,2)</f>
        <v>0.76</v>
      </c>
      <c r="AA135" s="344">
        <f>Z135*B135</f>
        <v>22.1008</v>
      </c>
    </row>
    <row r="136" spans="1:27" ht="15" customHeight="1" thickTop="1">
      <c r="A136" s="133"/>
      <c r="B136" s="213"/>
      <c r="C136" s="427" t="s">
        <v>72</v>
      </c>
      <c r="D136" s="90"/>
      <c r="E136" s="129"/>
      <c r="F136" s="90"/>
      <c r="G136" s="129"/>
      <c r="H136" s="108"/>
      <c r="I136" s="88"/>
      <c r="J136" s="883">
        <f>48/48*J121</f>
        <v>48</v>
      </c>
      <c r="K136" s="129">
        <f>J136/J121*K121</f>
        <v>48</v>
      </c>
      <c r="L136" s="88"/>
      <c r="M136" s="88"/>
      <c r="N136" s="131">
        <v>1.8</v>
      </c>
      <c r="O136" s="88"/>
      <c r="P136" s="500">
        <f>4.4/140*P121</f>
        <v>4.4000000000000004</v>
      </c>
      <c r="Q136" s="129">
        <f>P136/P121*Q121</f>
        <v>4.4000000000000004</v>
      </c>
      <c r="R136" s="129"/>
      <c r="S136" s="88"/>
      <c r="T136" s="88"/>
      <c r="U136" s="88"/>
      <c r="V136" s="890"/>
      <c r="W136" s="129"/>
      <c r="X136" s="88"/>
      <c r="Y136" s="88"/>
      <c r="Z136" s="125"/>
      <c r="AA136" s="123"/>
    </row>
    <row r="137" spans="1:27" ht="16.5" thickBot="1">
      <c r="A137" s="134" t="str">
        <f>A42</f>
        <v xml:space="preserve">Яйцо </v>
      </c>
      <c r="B137" s="347">
        <f>B42</f>
        <v>10</v>
      </c>
      <c r="C137" s="348" t="s">
        <v>74</v>
      </c>
      <c r="D137" s="363"/>
      <c r="E137" s="341"/>
      <c r="F137" s="363"/>
      <c r="G137" s="350"/>
      <c r="H137" s="349"/>
      <c r="I137" s="350"/>
      <c r="J137" s="534">
        <f>ROUND(J136*J120/1000/0.048,0)</f>
        <v>100</v>
      </c>
      <c r="K137" s="470">
        <f>J137</f>
        <v>100</v>
      </c>
      <c r="L137" s="350"/>
      <c r="M137" s="350"/>
      <c r="N137" s="470">
        <f>ROUND(N136*B120/1000/0.048,0)</f>
        <v>4</v>
      </c>
      <c r="O137" s="350"/>
      <c r="P137" s="530">
        <f>ROUND(P136*P120/48,0)</f>
        <v>9</v>
      </c>
      <c r="Q137" s="470">
        <f>P137</f>
        <v>9</v>
      </c>
      <c r="R137" s="350"/>
      <c r="S137" s="350"/>
      <c r="T137" s="350"/>
      <c r="U137" s="350"/>
      <c r="V137" s="363"/>
      <c r="W137" s="470"/>
      <c r="X137" s="350"/>
      <c r="Y137" s="350"/>
      <c r="Z137" s="343">
        <f>ROUND(E137+G137+I137+K137+L137+M137+N137+O137+Q137+R137+S137+T137+U137+W137+X137+Y137,2)</f>
        <v>113</v>
      </c>
      <c r="AA137" s="344">
        <f>Z137*B137</f>
        <v>1130</v>
      </c>
    </row>
    <row r="138" spans="1:27" ht="15" customHeight="1" thickTop="1">
      <c r="A138" s="133"/>
      <c r="B138" s="215"/>
      <c r="C138" s="77" t="s">
        <v>72</v>
      </c>
      <c r="D138" s="287"/>
      <c r="E138" s="88"/>
      <c r="F138" s="90">
        <v>30</v>
      </c>
      <c r="G138" s="129">
        <f>F138/F121*G121</f>
        <v>30</v>
      </c>
      <c r="H138" s="108"/>
      <c r="I138" s="88"/>
      <c r="J138" s="108"/>
      <c r="K138" s="88"/>
      <c r="L138" s="88"/>
      <c r="M138" s="88"/>
      <c r="N138" s="88"/>
      <c r="O138" s="88"/>
      <c r="P138" s="108"/>
      <c r="Q138" s="88"/>
      <c r="R138" s="88"/>
      <c r="S138" s="88"/>
      <c r="T138" s="88"/>
      <c r="U138" s="88"/>
      <c r="V138" s="591"/>
      <c r="W138" s="88"/>
      <c r="X138" s="88"/>
      <c r="Y138" s="88"/>
      <c r="Z138" s="125"/>
      <c r="AA138" s="123"/>
    </row>
    <row r="139" spans="1:27" ht="16.5" thickBot="1">
      <c r="A139" s="134" t="str">
        <f>A44</f>
        <v>Пшено</v>
      </c>
      <c r="B139" s="347">
        <f>B44</f>
        <v>40.08</v>
      </c>
      <c r="C139" s="348" t="s">
        <v>73</v>
      </c>
      <c r="D139" s="385"/>
      <c r="E139" s="350"/>
      <c r="F139" s="363">
        <f>F138*F120/1000</f>
        <v>3</v>
      </c>
      <c r="G139" s="341">
        <f>F139</f>
        <v>3</v>
      </c>
      <c r="H139" s="349"/>
      <c r="I139" s="350"/>
      <c r="J139" s="349"/>
      <c r="K139" s="350"/>
      <c r="L139" s="350"/>
      <c r="M139" s="350"/>
      <c r="N139" s="350"/>
      <c r="O139" s="350"/>
      <c r="P139" s="349"/>
      <c r="Q139" s="350"/>
      <c r="R139" s="350"/>
      <c r="S139" s="350"/>
      <c r="T139" s="350"/>
      <c r="U139" s="350"/>
      <c r="V139" s="360"/>
      <c r="W139" s="350"/>
      <c r="X139" s="350"/>
      <c r="Y139" s="350"/>
      <c r="Z139" s="343">
        <f>ROUND(E139+G139+I139+K139+L139+M139+N139+O139+Q139+R139+S139+T139+U139+W139+X139+Y139,2)</f>
        <v>3</v>
      </c>
      <c r="AA139" s="344">
        <f>Z139*B139</f>
        <v>120.24</v>
      </c>
    </row>
    <row r="140" spans="1:27" ht="15" customHeight="1" thickTop="1">
      <c r="A140" s="133"/>
      <c r="B140" s="213"/>
      <c r="C140" s="427" t="s">
        <v>72</v>
      </c>
      <c r="D140" s="305"/>
      <c r="E140" s="88"/>
      <c r="F140" s="90">
        <v>3</v>
      </c>
      <c r="G140" s="129">
        <f>F140/F121*G121</f>
        <v>3</v>
      </c>
      <c r="H140" s="108">
        <v>6</v>
      </c>
      <c r="I140" s="129">
        <f>H140/H121*I121</f>
        <v>6</v>
      </c>
      <c r="J140" s="108"/>
      <c r="K140" s="88"/>
      <c r="L140" s="88"/>
      <c r="M140" s="88"/>
      <c r="N140" s="88"/>
      <c r="O140" s="131"/>
      <c r="P140" s="108"/>
      <c r="Q140" s="88"/>
      <c r="R140" s="88"/>
      <c r="S140" s="131">
        <v>8</v>
      </c>
      <c r="T140" s="88"/>
      <c r="U140" s="131">
        <v>1.5</v>
      </c>
      <c r="V140" s="497"/>
      <c r="W140" s="129"/>
      <c r="X140" s="131">
        <v>6</v>
      </c>
      <c r="Y140" s="88"/>
      <c r="Z140" s="125"/>
      <c r="AA140" s="123"/>
    </row>
    <row r="141" spans="1:27" ht="16.5" thickBot="1">
      <c r="A141" s="134" t="str">
        <f>A46</f>
        <v>Сахар</v>
      </c>
      <c r="B141" s="347">
        <f>B46</f>
        <v>62.77</v>
      </c>
      <c r="C141" s="348" t="s">
        <v>73</v>
      </c>
      <c r="D141" s="385"/>
      <c r="E141" s="350"/>
      <c r="F141" s="363">
        <f>F140*F120/1000</f>
        <v>0.3</v>
      </c>
      <c r="G141" s="341">
        <f>F141</f>
        <v>0.3</v>
      </c>
      <c r="H141" s="349">
        <f>H140*H120/1000</f>
        <v>0.6</v>
      </c>
      <c r="I141" s="341">
        <f>H141</f>
        <v>0.6</v>
      </c>
      <c r="J141" s="349"/>
      <c r="K141" s="350"/>
      <c r="L141" s="350"/>
      <c r="M141" s="350"/>
      <c r="N141" s="350"/>
      <c r="O141" s="341"/>
      <c r="P141" s="349"/>
      <c r="Q141" s="350"/>
      <c r="R141" s="350"/>
      <c r="S141" s="341">
        <f>S140*B120/1000</f>
        <v>0.8</v>
      </c>
      <c r="T141" s="350"/>
      <c r="U141" s="372">
        <f>U140*B120/1000</f>
        <v>0.15</v>
      </c>
      <c r="V141" s="349"/>
      <c r="W141" s="341"/>
      <c r="X141" s="341">
        <f>X140*B120/1000</f>
        <v>0.6</v>
      </c>
      <c r="Y141" s="350"/>
      <c r="Z141" s="343">
        <f>ROUND(E141+G141+I141+K141+L141+M141+N141+O141+Q141+R141+S141+T141+U141+W141+X141+Y141,2)</f>
        <v>2.4500000000000002</v>
      </c>
      <c r="AA141" s="344">
        <f>Z141*B141</f>
        <v>153.78650000000002</v>
      </c>
    </row>
    <row r="142" spans="1:27" ht="15" customHeight="1" thickTop="1">
      <c r="A142" s="133"/>
      <c r="B142" s="215"/>
      <c r="C142" s="77" t="s">
        <v>72</v>
      </c>
      <c r="D142" s="287"/>
      <c r="E142" s="88"/>
      <c r="F142" s="90"/>
      <c r="G142" s="88"/>
      <c r="H142" s="108"/>
      <c r="I142" s="88"/>
      <c r="J142" s="108"/>
      <c r="K142" s="88"/>
      <c r="L142" s="88"/>
      <c r="M142" s="88"/>
      <c r="N142" s="88"/>
      <c r="O142" s="88"/>
      <c r="P142" s="108"/>
      <c r="Q142" s="88"/>
      <c r="R142" s="88"/>
      <c r="S142" s="131">
        <v>34</v>
      </c>
      <c r="T142" s="88"/>
      <c r="U142" s="88"/>
      <c r="V142" s="891"/>
      <c r="W142" s="244"/>
      <c r="X142" s="88"/>
      <c r="Y142" s="88"/>
      <c r="Z142" s="125"/>
      <c r="AA142" s="123"/>
    </row>
    <row r="143" spans="1:27" ht="16.5" thickBot="1">
      <c r="A143" s="134" t="str">
        <f>A48</f>
        <v>Яблоки свежие</v>
      </c>
      <c r="B143" s="347">
        <f>B48</f>
        <v>100</v>
      </c>
      <c r="C143" s="348" t="s">
        <v>73</v>
      </c>
      <c r="D143" s="385"/>
      <c r="E143" s="350"/>
      <c r="F143" s="363"/>
      <c r="G143" s="350"/>
      <c r="H143" s="349"/>
      <c r="I143" s="350"/>
      <c r="J143" s="349"/>
      <c r="K143" s="350"/>
      <c r="L143" s="350"/>
      <c r="M143" s="350"/>
      <c r="N143" s="350"/>
      <c r="O143" s="350"/>
      <c r="P143" s="349"/>
      <c r="Q143" s="350"/>
      <c r="R143" s="350"/>
      <c r="S143" s="341">
        <f>S142*B120/1000</f>
        <v>3.4</v>
      </c>
      <c r="T143" s="350"/>
      <c r="U143" s="350"/>
      <c r="V143" s="360"/>
      <c r="W143" s="350"/>
      <c r="X143" s="350"/>
      <c r="Y143" s="350"/>
      <c r="Z143" s="343">
        <f>ROUND(E143+G143+I143+K143+L143+M143+N143+O143+Q143+R143+S143+T143+U143+W143+X143+Y143,2)</f>
        <v>3.4</v>
      </c>
      <c r="AA143" s="344">
        <f>Z143*B143</f>
        <v>340</v>
      </c>
    </row>
    <row r="144" spans="1:27" ht="15" customHeight="1" thickTop="1">
      <c r="A144" s="133"/>
      <c r="B144" s="215"/>
      <c r="C144" s="77" t="s">
        <v>72</v>
      </c>
      <c r="D144" s="287"/>
      <c r="E144" s="104"/>
      <c r="F144" s="103"/>
      <c r="G144" s="104"/>
      <c r="H144" s="108"/>
      <c r="I144" s="104"/>
      <c r="J144" s="108"/>
      <c r="K144" s="104"/>
      <c r="L144" s="104"/>
      <c r="M144" s="114">
        <f>M145/B120*1000</f>
        <v>100</v>
      </c>
      <c r="N144" s="104"/>
      <c r="O144" s="104"/>
      <c r="P144" s="108"/>
      <c r="Q144" s="104"/>
      <c r="R144" s="104"/>
      <c r="S144" s="104"/>
      <c r="T144" s="104"/>
      <c r="U144" s="114"/>
      <c r="V144" s="693"/>
      <c r="W144" s="104"/>
      <c r="X144" s="104"/>
      <c r="Y144" s="104"/>
      <c r="Z144" s="125"/>
      <c r="AA144" s="123"/>
    </row>
    <row r="145" spans="1:27" ht="16.5" thickBot="1">
      <c r="A145" s="134" t="str">
        <f>A50</f>
        <v>Фрукт?</v>
      </c>
      <c r="B145" s="347">
        <f>B50</f>
        <v>100</v>
      </c>
      <c r="C145" s="348" t="s">
        <v>73</v>
      </c>
      <c r="D145" s="385"/>
      <c r="E145" s="350"/>
      <c r="F145" s="363"/>
      <c r="G145" s="350"/>
      <c r="H145" s="349"/>
      <c r="I145" s="350"/>
      <c r="J145" s="349"/>
      <c r="K145" s="350"/>
      <c r="L145" s="350"/>
      <c r="M145" s="342">
        <v>10</v>
      </c>
      <c r="N145" s="350"/>
      <c r="O145" s="350"/>
      <c r="P145" s="349"/>
      <c r="Q145" s="350"/>
      <c r="R145" s="350"/>
      <c r="S145" s="350"/>
      <c r="T145" s="350"/>
      <c r="U145" s="342"/>
      <c r="V145" s="360"/>
      <c r="W145" s="350"/>
      <c r="X145" s="350"/>
      <c r="Y145" s="350"/>
      <c r="Z145" s="343">
        <f>ROUND(E145+G145+I145+K145+L145+M145+N145+O145+Q145+R145+S145+T145+U145+W145+X145+Y145,2)</f>
        <v>10</v>
      </c>
      <c r="AA145" s="344">
        <f>Z145*B145</f>
        <v>1000</v>
      </c>
    </row>
    <row r="146" spans="1:27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18" t="s">
        <v>71</v>
      </c>
    </row>
    <row r="147" spans="1:27">
      <c r="A147" s="26" t="s">
        <v>53</v>
      </c>
      <c r="B147" s="20"/>
      <c r="C147" s="65"/>
      <c r="D147" s="65"/>
      <c r="E147" s="14"/>
      <c r="F147" s="14"/>
      <c r="G147" s="14"/>
      <c r="H147" s="14"/>
      <c r="I147" s="14"/>
      <c r="J147" s="14"/>
      <c r="K147" s="14"/>
      <c r="L147" s="14"/>
      <c r="M147" s="14"/>
      <c r="N147" s="28" t="s">
        <v>41</v>
      </c>
      <c r="O147" s="14"/>
      <c r="P147" s="14"/>
      <c r="Q147" s="14"/>
      <c r="R147" s="14"/>
      <c r="S147" s="28" t="s">
        <v>11</v>
      </c>
      <c r="T147" s="28"/>
      <c r="U147" s="14"/>
      <c r="V147" s="14"/>
      <c r="W147" s="14"/>
      <c r="X147" s="14"/>
      <c r="Y147" s="22"/>
      <c r="Z147" s="1047" t="s">
        <v>8</v>
      </c>
      <c r="AA147" s="1048"/>
    </row>
    <row r="148" spans="1:27">
      <c r="A148" s="800"/>
      <c r="B148" s="19"/>
      <c r="C148" s="5" t="s">
        <v>52</v>
      </c>
      <c r="D148" s="787"/>
      <c r="E148" s="1052"/>
      <c r="F148" s="1052"/>
      <c r="G148" s="1052"/>
      <c r="H148" s="1052"/>
      <c r="I148" s="1052"/>
      <c r="J148" s="1052"/>
      <c r="K148" s="1053"/>
      <c r="L148" s="789" t="s">
        <v>69</v>
      </c>
      <c r="M148" s="789"/>
      <c r="N148" s="1052"/>
      <c r="O148" s="1052"/>
      <c r="P148" s="1052"/>
      <c r="Q148" s="1052"/>
      <c r="R148" s="1052"/>
      <c r="S148" s="1052"/>
      <c r="T148" s="1053"/>
      <c r="U148" s="1056" t="s">
        <v>17</v>
      </c>
      <c r="V148" s="1052"/>
      <c r="W148" s="1052"/>
      <c r="X148" s="1052"/>
      <c r="Y148" s="1052"/>
      <c r="Z148" s="1058" t="s">
        <v>3</v>
      </c>
      <c r="AA148" s="1059"/>
    </row>
    <row r="149" spans="1:27">
      <c r="A149" s="799"/>
      <c r="B149" s="5"/>
      <c r="C149" s="5" t="s">
        <v>51</v>
      </c>
      <c r="D149" s="798"/>
      <c r="E149" s="1054"/>
      <c r="F149" s="1054"/>
      <c r="G149" s="1054"/>
      <c r="H149" s="1054"/>
      <c r="I149" s="1054"/>
      <c r="J149" s="1054"/>
      <c r="K149" s="1055"/>
      <c r="L149" s="791"/>
      <c r="M149" s="791"/>
      <c r="N149" s="1054"/>
      <c r="O149" s="1054"/>
      <c r="P149" s="1054"/>
      <c r="Q149" s="1054"/>
      <c r="R149" s="1054"/>
      <c r="S149" s="1054"/>
      <c r="T149" s="1055"/>
      <c r="U149" s="1057"/>
      <c r="V149" s="1054"/>
      <c r="W149" s="1054"/>
      <c r="X149" s="1054"/>
      <c r="Y149" s="1054"/>
      <c r="Z149" s="1047" t="s">
        <v>36</v>
      </c>
      <c r="AA149" s="1048"/>
    </row>
    <row r="150" spans="1:27" ht="12.75" customHeight="1">
      <c r="A150" s="799" t="s">
        <v>54</v>
      </c>
      <c r="B150" s="5" t="s">
        <v>65</v>
      </c>
      <c r="C150" s="5" t="s">
        <v>9</v>
      </c>
      <c r="D150" s="1038" t="str">
        <f>D116</f>
        <v>Бутерб. с маслом сл.</v>
      </c>
      <c r="E150" s="1038" t="str">
        <f>E116</f>
        <v xml:space="preserve">  5. /20</v>
      </c>
      <c r="F150" s="1035" t="str">
        <f>F116</f>
        <v>Каша пшенн. молочная</v>
      </c>
      <c r="G150" s="1038"/>
      <c r="H150" s="1041" t="str">
        <f>H116</f>
        <v>Кофейный напит.</v>
      </c>
      <c r="I150" s="1038"/>
      <c r="J150" s="1041" t="str">
        <f>J116</f>
        <v>Яйцо вареное</v>
      </c>
      <c r="K150" s="1038"/>
      <c r="L150" s="1041" t="str">
        <f t="shared" ref="L150:P150" si="7">L116</f>
        <v>Батон витаминиз.</v>
      </c>
      <c r="M150" s="1041" t="str">
        <f t="shared" si="7"/>
        <v>Фрукты порц.</v>
      </c>
      <c r="N150" s="1035" t="str">
        <f t="shared" si="7"/>
        <v>Суп карт. с клецками</v>
      </c>
      <c r="O150" s="1038" t="str">
        <f t="shared" si="7"/>
        <v xml:space="preserve"> Мясо цыплят  в суп</v>
      </c>
      <c r="P150" s="1035" t="str">
        <f t="shared" si="7"/>
        <v>Голубцы ленивые</v>
      </c>
      <c r="Q150" s="1038"/>
      <c r="R150" s="860"/>
      <c r="S150" s="1041" t="str">
        <f>S116</f>
        <v>Компот из св. яблок</v>
      </c>
      <c r="T150" s="1044" t="s">
        <v>68</v>
      </c>
      <c r="U150" s="1041" t="str">
        <f>U116</f>
        <v>Салат из свеж. капусты</v>
      </c>
      <c r="V150" s="1041" t="str">
        <f>V116</f>
        <v>Жаркое по-домашнему</v>
      </c>
      <c r="W150" s="1096"/>
      <c r="X150" s="1044" t="str">
        <f>X116</f>
        <v>Чай с лимоном</v>
      </c>
      <c r="Y150" s="1038" t="str">
        <f>Y116</f>
        <v>Хлеб йодирован. пшен.</v>
      </c>
      <c r="Z150" s="24"/>
      <c r="AA150" s="802"/>
    </row>
    <row r="151" spans="1:27">
      <c r="A151" s="799"/>
      <c r="B151" s="5"/>
      <c r="C151" s="5" t="s">
        <v>10</v>
      </c>
      <c r="D151" s="1039"/>
      <c r="E151" s="1039"/>
      <c r="F151" s="1036"/>
      <c r="G151" s="1039"/>
      <c r="H151" s="1042"/>
      <c r="I151" s="1039"/>
      <c r="J151" s="1042"/>
      <c r="K151" s="1039"/>
      <c r="L151" s="1042"/>
      <c r="M151" s="1042"/>
      <c r="N151" s="1036"/>
      <c r="O151" s="1039"/>
      <c r="P151" s="1036"/>
      <c r="Q151" s="1039"/>
      <c r="R151" s="861"/>
      <c r="S151" s="1042"/>
      <c r="T151" s="1045"/>
      <c r="U151" s="1042"/>
      <c r="V151" s="1097"/>
      <c r="W151" s="1098"/>
      <c r="X151" s="1045"/>
      <c r="Y151" s="1039"/>
      <c r="Z151" s="19" t="s">
        <v>6</v>
      </c>
      <c r="AA151" s="798" t="s">
        <v>4</v>
      </c>
    </row>
    <row r="152" spans="1:27">
      <c r="A152" s="796"/>
      <c r="B152" s="4"/>
      <c r="C152" s="4"/>
      <c r="D152" s="1040"/>
      <c r="E152" s="1040"/>
      <c r="F152" s="1037"/>
      <c r="G152" s="1040"/>
      <c r="H152" s="1043"/>
      <c r="I152" s="1040"/>
      <c r="J152" s="1043"/>
      <c r="K152" s="1040"/>
      <c r="L152" s="1043"/>
      <c r="M152" s="1043"/>
      <c r="N152" s="1037"/>
      <c r="O152" s="1040"/>
      <c r="P152" s="1037"/>
      <c r="Q152" s="1040"/>
      <c r="R152" s="862"/>
      <c r="S152" s="1043"/>
      <c r="T152" s="1046"/>
      <c r="U152" s="1043"/>
      <c r="V152" s="1099"/>
      <c r="W152" s="1100"/>
      <c r="X152" s="1046"/>
      <c r="Y152" s="1040"/>
      <c r="Z152" s="4" t="s">
        <v>7</v>
      </c>
      <c r="AA152" s="793" t="s">
        <v>5</v>
      </c>
    </row>
    <row r="153" spans="1:27" ht="13.5" thickBot="1">
      <c r="A153" s="64">
        <v>1</v>
      </c>
      <c r="B153" s="867">
        <v>2</v>
      </c>
      <c r="C153" s="72">
        <v>3</v>
      </c>
      <c r="D153" s="86">
        <v>4</v>
      </c>
      <c r="E153" s="80">
        <v>5</v>
      </c>
      <c r="F153" s="86">
        <v>6</v>
      </c>
      <c r="G153" s="865">
        <v>7</v>
      </c>
      <c r="H153" s="87">
        <v>8</v>
      </c>
      <c r="I153" s="80">
        <v>9</v>
      </c>
      <c r="J153" s="82">
        <v>10</v>
      </c>
      <c r="K153" s="95">
        <v>11</v>
      </c>
      <c r="L153" s="96">
        <v>12</v>
      </c>
      <c r="M153" s="96">
        <v>13</v>
      </c>
      <c r="N153" s="871">
        <v>14</v>
      </c>
      <c r="O153" s="680">
        <v>15</v>
      </c>
      <c r="P153" s="872">
        <v>16</v>
      </c>
      <c r="Q153" s="873">
        <v>17</v>
      </c>
      <c r="R153" s="81">
        <v>18</v>
      </c>
      <c r="S153" s="874">
        <v>19</v>
      </c>
      <c r="T153" s="98">
        <v>20</v>
      </c>
      <c r="U153" s="80">
        <v>21</v>
      </c>
      <c r="V153" s="868">
        <v>22</v>
      </c>
      <c r="W153" s="95">
        <v>23</v>
      </c>
      <c r="X153" s="81">
        <v>24</v>
      </c>
      <c r="Y153" s="96">
        <v>25</v>
      </c>
      <c r="Z153" s="35">
        <v>26</v>
      </c>
      <c r="AA153" s="864">
        <v>27</v>
      </c>
    </row>
    <row r="154" spans="1:27" ht="15" customHeight="1" thickTop="1">
      <c r="A154" s="135"/>
      <c r="B154" s="13"/>
      <c r="C154" s="77" t="s">
        <v>72</v>
      </c>
      <c r="D154" s="297"/>
      <c r="E154" s="277"/>
      <c r="F154" s="109"/>
      <c r="G154" s="94"/>
      <c r="H154" s="109"/>
      <c r="I154" s="94"/>
      <c r="J154" s="109"/>
      <c r="K154" s="94"/>
      <c r="L154" s="94"/>
      <c r="M154" s="94"/>
      <c r="N154" s="130">
        <v>49.3</v>
      </c>
      <c r="O154" s="130"/>
      <c r="P154" s="884"/>
      <c r="Q154" s="181"/>
      <c r="R154" s="181"/>
      <c r="S154" s="94"/>
      <c r="T154" s="94"/>
      <c r="U154" s="130"/>
      <c r="V154" s="497">
        <f>129/100*V121</f>
        <v>129</v>
      </c>
      <c r="W154" s="129">
        <f>V154/V121*W121</f>
        <v>129</v>
      </c>
      <c r="X154" s="94"/>
      <c r="Y154" s="94"/>
      <c r="Z154" s="117"/>
      <c r="AA154" s="116"/>
    </row>
    <row r="155" spans="1:27" ht="16.5" thickBot="1">
      <c r="A155" s="346" t="str">
        <f>A60</f>
        <v>Картофель</v>
      </c>
      <c r="B155" s="347">
        <f>B60</f>
        <v>28</v>
      </c>
      <c r="C155" s="348" t="s">
        <v>73</v>
      </c>
      <c r="D155" s="387"/>
      <c r="E155" s="353"/>
      <c r="F155" s="338"/>
      <c r="G155" s="337"/>
      <c r="H155" s="338"/>
      <c r="I155" s="337"/>
      <c r="J155" s="338"/>
      <c r="K155" s="337"/>
      <c r="L155" s="337"/>
      <c r="M155" s="337"/>
      <c r="N155" s="339">
        <f>N154*B120/1000</f>
        <v>4.93</v>
      </c>
      <c r="O155" s="340"/>
      <c r="P155" s="338"/>
      <c r="Q155" s="339"/>
      <c r="R155" s="340"/>
      <c r="S155" s="337"/>
      <c r="T155" s="337"/>
      <c r="U155" s="886"/>
      <c r="V155" s="363">
        <f>V154*V120/1000</f>
        <v>12.9</v>
      </c>
      <c r="W155" s="341">
        <f>V155</f>
        <v>12.9</v>
      </c>
      <c r="X155" s="337"/>
      <c r="Y155" s="337"/>
      <c r="Z155" s="343">
        <f>ROUND(E155+G155+I155+K155+L155+M155+N155+O155+Q155+R155+S155+T155+U155+W155+X155+Y155,2)</f>
        <v>17.829999999999998</v>
      </c>
      <c r="AA155" s="344">
        <f>Z155*B155</f>
        <v>499.23999999999995</v>
      </c>
    </row>
    <row r="156" spans="1:27" ht="15" customHeight="1" thickTop="1">
      <c r="A156" s="133"/>
      <c r="B156" s="213"/>
      <c r="C156" s="427" t="s">
        <v>72</v>
      </c>
      <c r="D156" s="78"/>
      <c r="E156" s="268"/>
      <c r="F156" s="112"/>
      <c r="G156" s="106"/>
      <c r="H156" s="112"/>
      <c r="I156" s="106"/>
      <c r="J156" s="112"/>
      <c r="K156" s="106"/>
      <c r="L156" s="106"/>
      <c r="M156" s="106"/>
      <c r="N156" s="127"/>
      <c r="O156" s="130"/>
      <c r="P156" s="884">
        <f>105/140*P121</f>
        <v>105</v>
      </c>
      <c r="Q156" s="181">
        <f>P156/P121*Q121</f>
        <v>105</v>
      </c>
      <c r="R156" s="106"/>
      <c r="S156" s="106"/>
      <c r="T156" s="106"/>
      <c r="U156" s="568">
        <v>29.6</v>
      </c>
      <c r="V156" s="497"/>
      <c r="W156" s="498"/>
      <c r="X156" s="106"/>
      <c r="Y156" s="106"/>
      <c r="Z156" s="125"/>
      <c r="AA156" s="123"/>
    </row>
    <row r="157" spans="1:27" ht="16.5" thickBot="1">
      <c r="A157" s="346" t="str">
        <f>A62</f>
        <v xml:space="preserve">Капуста св. б/к </v>
      </c>
      <c r="B157" s="347">
        <f>B62</f>
        <v>30</v>
      </c>
      <c r="C157" s="348" t="s">
        <v>73</v>
      </c>
      <c r="D157" s="387"/>
      <c r="E157" s="353"/>
      <c r="F157" s="338"/>
      <c r="G157" s="337"/>
      <c r="H157" s="338"/>
      <c r="I157" s="337"/>
      <c r="J157" s="338"/>
      <c r="K157" s="337"/>
      <c r="L157" s="337"/>
      <c r="M157" s="337"/>
      <c r="N157" s="340">
        <f>N156*B120/1000</f>
        <v>0</v>
      </c>
      <c r="O157" s="339"/>
      <c r="P157" s="338">
        <f>P156*P120/1000</f>
        <v>10.5</v>
      </c>
      <c r="Q157" s="339">
        <f>P157</f>
        <v>10.5</v>
      </c>
      <c r="R157" s="337"/>
      <c r="S157" s="337"/>
      <c r="T157" s="337"/>
      <c r="U157" s="372">
        <f>U156*B120/1000</f>
        <v>2.96</v>
      </c>
      <c r="V157" s="363"/>
      <c r="W157" s="350"/>
      <c r="X157" s="337"/>
      <c r="Y157" s="337"/>
      <c r="Z157" s="343">
        <f>ROUND(E157+G157+I157+K157+L157+M157+N157+O157+Q157+R157+S157+T157+U157+W157+X157+Y157,2)</f>
        <v>13.46</v>
      </c>
      <c r="AA157" s="344">
        <f>Z157*B157</f>
        <v>403.8</v>
      </c>
    </row>
    <row r="158" spans="1:27" ht="15" customHeight="1" thickTop="1">
      <c r="A158" s="133"/>
      <c r="B158" s="215"/>
      <c r="C158" s="77" t="s">
        <v>72</v>
      </c>
      <c r="D158" s="78"/>
      <c r="E158" s="268"/>
      <c r="F158" s="112"/>
      <c r="G158" s="106"/>
      <c r="H158" s="112"/>
      <c r="I158" s="106"/>
      <c r="J158" s="112"/>
      <c r="K158" s="106"/>
      <c r="L158" s="106"/>
      <c r="M158" s="106"/>
      <c r="N158" s="127">
        <v>7.7</v>
      </c>
      <c r="O158" s="250"/>
      <c r="P158" s="884">
        <f>14.5/140*P121</f>
        <v>14.500000000000002</v>
      </c>
      <c r="Q158" s="129">
        <f>P158/P121*Q121</f>
        <v>14.500000000000002</v>
      </c>
      <c r="R158" s="129"/>
      <c r="S158" s="106"/>
      <c r="T158" s="106"/>
      <c r="U158" s="250"/>
      <c r="V158" s="497">
        <f>8.4/100*V121</f>
        <v>8.4</v>
      </c>
      <c r="W158" s="129">
        <f>V158/V121*W121</f>
        <v>8.4</v>
      </c>
      <c r="X158" s="106"/>
      <c r="Y158" s="106"/>
      <c r="Z158" s="125"/>
      <c r="AA158" s="124"/>
    </row>
    <row r="159" spans="1:27" ht="16.5" thickBot="1">
      <c r="A159" s="346" t="str">
        <f>A64</f>
        <v>Лук</v>
      </c>
      <c r="B159" s="347">
        <f>B64</f>
        <v>37</v>
      </c>
      <c r="C159" s="348" t="s">
        <v>73</v>
      </c>
      <c r="D159" s="387"/>
      <c r="E159" s="353"/>
      <c r="F159" s="338"/>
      <c r="G159" s="337"/>
      <c r="H159" s="338"/>
      <c r="I159" s="337"/>
      <c r="J159" s="338"/>
      <c r="K159" s="337"/>
      <c r="L159" s="337"/>
      <c r="M159" s="337"/>
      <c r="N159" s="339">
        <f>N158*B120/1000</f>
        <v>0.77</v>
      </c>
      <c r="O159" s="372"/>
      <c r="P159" s="349">
        <f>P158*P120/1000</f>
        <v>1.4500000000000002</v>
      </c>
      <c r="Q159" s="339">
        <f>P159</f>
        <v>1.4500000000000002</v>
      </c>
      <c r="R159" s="340"/>
      <c r="S159" s="337"/>
      <c r="T159" s="337"/>
      <c r="U159" s="886">
        <f>U158*B120/1000</f>
        <v>0</v>
      </c>
      <c r="V159" s="363">
        <f>V158*V120/1000</f>
        <v>0.84</v>
      </c>
      <c r="W159" s="341">
        <f>V159</f>
        <v>0.84</v>
      </c>
      <c r="X159" s="337"/>
      <c r="Y159" s="337"/>
      <c r="Z159" s="343">
        <f>ROUND(E159+G159+I159+K159+L159+M159+N159+O159+Q159+R159+S159+T159+U159+W159+X159+Y159,2)</f>
        <v>3.06</v>
      </c>
      <c r="AA159" s="351">
        <f>Z159*B159</f>
        <v>113.22</v>
      </c>
    </row>
    <row r="160" spans="1:27" ht="15" customHeight="1" thickTop="1">
      <c r="A160" s="133"/>
      <c r="B160" s="215"/>
      <c r="C160" s="77" t="s">
        <v>72</v>
      </c>
      <c r="D160" s="78"/>
      <c r="E160" s="268"/>
      <c r="F160" s="112"/>
      <c r="G160" s="106"/>
      <c r="H160" s="112"/>
      <c r="I160" s="106"/>
      <c r="J160" s="112"/>
      <c r="K160" s="106"/>
      <c r="L160" s="106"/>
      <c r="M160" s="106"/>
      <c r="N160" s="127">
        <v>8.5</v>
      </c>
      <c r="O160" s="250"/>
      <c r="P160" s="177"/>
      <c r="Q160" s="129"/>
      <c r="R160" s="129"/>
      <c r="S160" s="106"/>
      <c r="T160" s="245"/>
      <c r="U160" s="975">
        <v>4</v>
      </c>
      <c r="V160" s="888"/>
      <c r="W160" s="184"/>
      <c r="X160" s="106"/>
      <c r="Y160" s="106"/>
      <c r="Z160" s="125"/>
      <c r="AA160" s="123"/>
    </row>
    <row r="161" spans="1:27" ht="16.5" thickBot="1">
      <c r="A161" s="346" t="str">
        <f>A66</f>
        <v>Морковь</v>
      </c>
      <c r="B161" s="347">
        <f>B66</f>
        <v>38</v>
      </c>
      <c r="C161" s="348" t="s">
        <v>73</v>
      </c>
      <c r="D161" s="385"/>
      <c r="E161" s="353"/>
      <c r="F161" s="338"/>
      <c r="G161" s="337"/>
      <c r="H161" s="338"/>
      <c r="I161" s="337"/>
      <c r="J161" s="338"/>
      <c r="K161" s="337"/>
      <c r="L161" s="337"/>
      <c r="M161" s="337"/>
      <c r="N161" s="339">
        <f>N160*B120/1000</f>
        <v>0.85</v>
      </c>
      <c r="O161" s="339"/>
      <c r="P161" s="349"/>
      <c r="Q161" s="340"/>
      <c r="R161" s="340"/>
      <c r="S161" s="337"/>
      <c r="T161" s="342"/>
      <c r="U161" s="886">
        <f>U160*B120/1000</f>
        <v>0.4</v>
      </c>
      <c r="V161" s="360"/>
      <c r="W161" s="341"/>
      <c r="X161" s="337"/>
      <c r="Y161" s="337"/>
      <c r="Z161" s="343">
        <f>ROUND(E161+G161+I161+K161+L161+M161+N161+O161+Q161+R161+S161+T161+U161+W161+X161+Y161,2)</f>
        <v>1.25</v>
      </c>
      <c r="AA161" s="344">
        <f>Z161*B161</f>
        <v>47.5</v>
      </c>
    </row>
    <row r="162" spans="1:27" ht="15" customHeight="1" thickTop="1">
      <c r="A162" s="133"/>
      <c r="B162" s="215"/>
      <c r="C162" s="77" t="s">
        <v>72</v>
      </c>
      <c r="D162" s="287"/>
      <c r="E162" s="268"/>
      <c r="F162" s="112"/>
      <c r="G162" s="106"/>
      <c r="H162" s="112"/>
      <c r="I162" s="114"/>
      <c r="J162" s="112"/>
      <c r="K162" s="106"/>
      <c r="L162" s="106"/>
      <c r="M162" s="106"/>
      <c r="N162" s="106"/>
      <c r="O162" s="250"/>
      <c r="P162" s="177"/>
      <c r="Q162" s="106"/>
      <c r="R162" s="131">
        <v>4.5</v>
      </c>
      <c r="S162" s="106"/>
      <c r="T162" s="106"/>
      <c r="U162" s="679"/>
      <c r="V162" s="693"/>
      <c r="W162" s="893"/>
      <c r="X162" s="268"/>
      <c r="Y162" s="106"/>
      <c r="Z162" s="125"/>
      <c r="AA162" s="123"/>
    </row>
    <row r="163" spans="1:27" ht="16.5" thickBot="1">
      <c r="A163" s="346" t="str">
        <f>A68</f>
        <v>Сметана</v>
      </c>
      <c r="B163" s="347">
        <f>B68</f>
        <v>227</v>
      </c>
      <c r="C163" s="348" t="s">
        <v>73</v>
      </c>
      <c r="D163" s="385"/>
      <c r="E163" s="353"/>
      <c r="F163" s="338"/>
      <c r="G163" s="337"/>
      <c r="H163" s="338"/>
      <c r="I163" s="340"/>
      <c r="J163" s="338"/>
      <c r="K163" s="337"/>
      <c r="L163" s="337"/>
      <c r="M163" s="337"/>
      <c r="N163" s="337"/>
      <c r="O163" s="340"/>
      <c r="P163" s="349"/>
      <c r="Q163" s="337"/>
      <c r="R163" s="341">
        <f>R162*B120/1000</f>
        <v>0.45</v>
      </c>
      <c r="S163" s="337"/>
      <c r="T163" s="337"/>
      <c r="U163" s="372"/>
      <c r="V163" s="361"/>
      <c r="W163" s="894"/>
      <c r="X163" s="353"/>
      <c r="Y163" s="337"/>
      <c r="Z163" s="343">
        <f>ROUND(E163+G163+I163+K163+L163+M163+N163+O163+Q163+R163+S163+T163+U163+W163+X163+Y163,2)</f>
        <v>0.45</v>
      </c>
      <c r="AA163" s="344">
        <f>Z163*B163</f>
        <v>102.15</v>
      </c>
    </row>
    <row r="164" spans="1:27" ht="15" customHeight="1" thickTop="1">
      <c r="A164" s="133"/>
      <c r="B164" s="215"/>
      <c r="C164" s="77" t="s">
        <v>72</v>
      </c>
      <c r="D164" s="90">
        <v>20</v>
      </c>
      <c r="E164" s="129">
        <f>D164/D121*E121</f>
        <v>20</v>
      </c>
      <c r="F164" s="112"/>
      <c r="G164" s="106"/>
      <c r="H164" s="112"/>
      <c r="I164" s="106"/>
      <c r="J164" s="112"/>
      <c r="K164" s="128"/>
      <c r="L164" s="566">
        <f>L165/B120*1000</f>
        <v>10</v>
      </c>
      <c r="M164" s="106"/>
      <c r="N164" s="106"/>
      <c r="O164" s="251"/>
      <c r="P164" s="177"/>
      <c r="Q164" s="114"/>
      <c r="R164" s="114"/>
      <c r="S164" s="106"/>
      <c r="T164" s="106"/>
      <c r="U164" s="106"/>
      <c r="V164" s="497"/>
      <c r="W164" s="129"/>
      <c r="X164" s="106"/>
      <c r="Y164" s="114"/>
      <c r="Z164" s="125"/>
      <c r="AA164" s="123"/>
    </row>
    <row r="165" spans="1:27" ht="16.5" thickBot="1">
      <c r="A165" s="346" t="str">
        <f>A70</f>
        <v>Батон витам.</v>
      </c>
      <c r="B165" s="347">
        <f>B70</f>
        <v>81.099999999999994</v>
      </c>
      <c r="C165" s="348" t="s">
        <v>73</v>
      </c>
      <c r="D165" s="363">
        <f>D164*F120/1000</f>
        <v>2</v>
      </c>
      <c r="E165" s="341">
        <f>D165</f>
        <v>2</v>
      </c>
      <c r="F165" s="338"/>
      <c r="G165" s="337"/>
      <c r="H165" s="338"/>
      <c r="I165" s="337"/>
      <c r="J165" s="338"/>
      <c r="K165" s="339"/>
      <c r="L165" s="670">
        <v>1</v>
      </c>
      <c r="M165" s="337"/>
      <c r="N165" s="340"/>
      <c r="O165" s="358"/>
      <c r="P165" s="349"/>
      <c r="Q165" s="340"/>
      <c r="R165" s="340"/>
      <c r="S165" s="337"/>
      <c r="T165" s="337"/>
      <c r="U165" s="337"/>
      <c r="V165" s="349"/>
      <c r="W165" s="341"/>
      <c r="X165" s="337"/>
      <c r="Y165" s="339"/>
      <c r="Z165" s="343">
        <f>ROUND(E165+G165+I165+K165+L165+M165+N165+O165+Q165+R165+S165+T165+U165+W165+X165+Y165,2)</f>
        <v>3</v>
      </c>
      <c r="AA165" s="344">
        <f>Z165*B165</f>
        <v>243.29999999999998</v>
      </c>
    </row>
    <row r="166" spans="1:27" ht="15" customHeight="1" thickTop="1">
      <c r="A166" s="133"/>
      <c r="B166" s="213"/>
      <c r="C166" s="427" t="s">
        <v>72</v>
      </c>
      <c r="D166" s="287"/>
      <c r="E166" s="268"/>
      <c r="F166" s="112"/>
      <c r="G166" s="106"/>
      <c r="H166" s="112"/>
      <c r="I166" s="106"/>
      <c r="J166" s="112"/>
      <c r="K166" s="106"/>
      <c r="L166" s="106"/>
      <c r="M166" s="106"/>
      <c r="N166" s="106"/>
      <c r="O166" s="251"/>
      <c r="P166" s="112"/>
      <c r="Q166" s="106"/>
      <c r="R166" s="106"/>
      <c r="S166" s="106"/>
      <c r="T166" s="128">
        <f>T167/T120*1000</f>
        <v>30</v>
      </c>
      <c r="U166" s="106"/>
      <c r="V166" s="889"/>
      <c r="W166" s="268"/>
      <c r="X166" s="106"/>
      <c r="Y166" s="106"/>
      <c r="Z166" s="125"/>
      <c r="AA166" s="123"/>
    </row>
    <row r="167" spans="1:27" ht="16.5" thickBot="1">
      <c r="A167" s="346" t="str">
        <f>A72</f>
        <v>Хлеб рж-пшен.</v>
      </c>
      <c r="B167" s="347">
        <f>B72</f>
        <v>55</v>
      </c>
      <c r="C167" s="348" t="s">
        <v>73</v>
      </c>
      <c r="D167" s="385"/>
      <c r="E167" s="353"/>
      <c r="F167" s="338"/>
      <c r="G167" s="337"/>
      <c r="H167" s="338"/>
      <c r="I167" s="337"/>
      <c r="J167" s="338"/>
      <c r="K167" s="337"/>
      <c r="L167" s="337"/>
      <c r="M167" s="337"/>
      <c r="N167" s="337"/>
      <c r="O167" s="358"/>
      <c r="P167" s="338"/>
      <c r="Q167" s="337"/>
      <c r="R167" s="337"/>
      <c r="S167" s="337"/>
      <c r="T167" s="342">
        <v>3</v>
      </c>
      <c r="U167" s="337"/>
      <c r="V167" s="835"/>
      <c r="W167" s="353"/>
      <c r="X167" s="337"/>
      <c r="Y167" s="337"/>
      <c r="Z167" s="343">
        <f>ROUND(E167+G167+I167+K167+L167+M167+N167+O167+Q167+R167+S167+T167+U167+W167+X167+Y167,2)</f>
        <v>3</v>
      </c>
      <c r="AA167" s="344">
        <f>Z167*B167</f>
        <v>165</v>
      </c>
    </row>
    <row r="168" spans="1:27" ht="15" customHeight="1" thickTop="1">
      <c r="A168" s="133"/>
      <c r="B168" s="213"/>
      <c r="C168" s="427" t="s">
        <v>72</v>
      </c>
      <c r="D168" s="287"/>
      <c r="E168" s="268"/>
      <c r="F168" s="112"/>
      <c r="G168" s="106"/>
      <c r="H168" s="112"/>
      <c r="I168" s="106"/>
      <c r="J168" s="112"/>
      <c r="K168" s="106"/>
      <c r="L168" s="106"/>
      <c r="M168" s="106"/>
      <c r="N168" s="106"/>
      <c r="O168" s="251"/>
      <c r="P168" s="112"/>
      <c r="Q168" s="106"/>
      <c r="R168" s="106"/>
      <c r="S168" s="106"/>
      <c r="T168" s="106"/>
      <c r="U168" s="106"/>
      <c r="V168" s="406"/>
      <c r="W168" s="498"/>
      <c r="X168" s="106"/>
      <c r="Y168" s="128">
        <f>Y169/Y120*1000</f>
        <v>10</v>
      </c>
      <c r="Z168" s="125"/>
      <c r="AA168" s="123"/>
    </row>
    <row r="169" spans="1:27" ht="16.5" customHeight="1" thickBot="1">
      <c r="A169" s="346" t="str">
        <f>A74</f>
        <v xml:space="preserve">Хлеб  йод. пш. </v>
      </c>
      <c r="B169" s="347">
        <f>B74</f>
        <v>61.3</v>
      </c>
      <c r="C169" s="348" t="s">
        <v>73</v>
      </c>
      <c r="D169" s="385"/>
      <c r="E169" s="353"/>
      <c r="F169" s="338"/>
      <c r="G169" s="337"/>
      <c r="H169" s="338"/>
      <c r="I169" s="337"/>
      <c r="J169" s="338"/>
      <c r="K169" s="337"/>
      <c r="L169" s="337"/>
      <c r="M169" s="337"/>
      <c r="N169" s="337"/>
      <c r="O169" s="358"/>
      <c r="P169" s="338"/>
      <c r="Q169" s="337"/>
      <c r="R169" s="337"/>
      <c r="S169" s="337"/>
      <c r="T169" s="337"/>
      <c r="U169" s="337"/>
      <c r="V169" s="835"/>
      <c r="W169" s="350">
        <f>W168*B154/1000</f>
        <v>0</v>
      </c>
      <c r="X169" s="337"/>
      <c r="Y169" s="342">
        <v>1</v>
      </c>
      <c r="Z169" s="343">
        <f>ROUND(E169+G169+I169+K169+L169+M169+N169+O169+Q169+R169+S169+T169+U169+W169+X169+Y169,2)</f>
        <v>1</v>
      </c>
      <c r="AA169" s="344">
        <f>Z169*B169</f>
        <v>61.3</v>
      </c>
    </row>
    <row r="170" spans="1:27" ht="15" customHeight="1" thickTop="1">
      <c r="A170" s="133"/>
      <c r="B170" s="213"/>
      <c r="C170" s="427" t="s">
        <v>72</v>
      </c>
      <c r="D170" s="287"/>
      <c r="E170" s="268"/>
      <c r="F170" s="112"/>
      <c r="G170" s="106"/>
      <c r="H170" s="112"/>
      <c r="I170" s="106"/>
      <c r="J170" s="112"/>
      <c r="K170" s="106"/>
      <c r="L170" s="106"/>
      <c r="M170" s="106"/>
      <c r="N170" s="106"/>
      <c r="O170" s="251"/>
      <c r="P170" s="112"/>
      <c r="Q170" s="106"/>
      <c r="R170" s="106"/>
      <c r="S170" s="106"/>
      <c r="T170" s="106"/>
      <c r="U170" s="127"/>
      <c r="V170" s="497"/>
      <c r="W170" s="129">
        <f>V170/V121*W121</f>
        <v>0</v>
      </c>
      <c r="X170" s="127">
        <v>4</v>
      </c>
      <c r="Y170" s="106"/>
      <c r="Z170" s="125"/>
      <c r="AA170" s="123"/>
    </row>
    <row r="171" spans="1:27" ht="16.5" thickBot="1">
      <c r="A171" s="346" t="str">
        <f>A76</f>
        <v>Лимоны</v>
      </c>
      <c r="B171" s="347">
        <f>B76</f>
        <v>190</v>
      </c>
      <c r="C171" s="348" t="s">
        <v>73</v>
      </c>
      <c r="D171" s="385"/>
      <c r="E171" s="353"/>
      <c r="F171" s="338"/>
      <c r="G171" s="337"/>
      <c r="H171" s="338"/>
      <c r="I171" s="337"/>
      <c r="J171" s="338"/>
      <c r="K171" s="337"/>
      <c r="L171" s="337"/>
      <c r="M171" s="337"/>
      <c r="N171" s="337"/>
      <c r="O171" s="358"/>
      <c r="P171" s="338"/>
      <c r="Q171" s="337"/>
      <c r="R171" s="337"/>
      <c r="S171" s="337"/>
      <c r="T171" s="337"/>
      <c r="U171" s="340"/>
      <c r="V171" s="349">
        <f>V170*V120/1000</f>
        <v>0</v>
      </c>
      <c r="W171" s="366">
        <f>V171</f>
        <v>0</v>
      </c>
      <c r="X171" s="339">
        <f>X170*B120/1000</f>
        <v>0.4</v>
      </c>
      <c r="Y171" s="337"/>
      <c r="Z171" s="343">
        <f>ROUND(E171+G171+I171+K171+L171+M171+N171+O171+Q171+R171+S171+T171+U171+W171+X171+Y171,2)</f>
        <v>0.4</v>
      </c>
      <c r="AA171" s="344">
        <f>Z171*B171</f>
        <v>76</v>
      </c>
    </row>
    <row r="172" spans="1:27" ht="15" customHeight="1" thickTop="1">
      <c r="A172" s="133"/>
      <c r="B172" s="215"/>
      <c r="C172" s="77" t="s">
        <v>72</v>
      </c>
      <c r="D172" s="287"/>
      <c r="E172" s="268"/>
      <c r="F172" s="112"/>
      <c r="G172" s="106"/>
      <c r="H172" s="112">
        <v>2</v>
      </c>
      <c r="I172" s="128">
        <f>H172/H121*I121</f>
        <v>2</v>
      </c>
      <c r="J172" s="112"/>
      <c r="K172" s="106"/>
      <c r="L172" s="106"/>
      <c r="M172" s="106"/>
      <c r="N172" s="106"/>
      <c r="O172" s="251"/>
      <c r="P172" s="112"/>
      <c r="Q172" s="106"/>
      <c r="R172" s="106"/>
      <c r="S172" s="106"/>
      <c r="T172" s="106"/>
      <c r="U172" s="106"/>
      <c r="V172" s="889"/>
      <c r="W172" s="268"/>
      <c r="X172" s="250"/>
      <c r="Y172" s="106"/>
      <c r="Z172" s="125"/>
      <c r="AA172" s="123"/>
    </row>
    <row r="173" spans="1:27" ht="16.5" thickBot="1">
      <c r="A173" s="346" t="str">
        <f>A78</f>
        <v>Кофейн. нап.</v>
      </c>
      <c r="B173" s="347">
        <f>B78</f>
        <v>550</v>
      </c>
      <c r="C173" s="348" t="s">
        <v>73</v>
      </c>
      <c r="D173" s="385"/>
      <c r="E173" s="353"/>
      <c r="F173" s="338"/>
      <c r="G173" s="337"/>
      <c r="H173" s="338">
        <f>H172*H120/1000</f>
        <v>0.2</v>
      </c>
      <c r="I173" s="357">
        <f>H173</f>
        <v>0.2</v>
      </c>
      <c r="J173" s="338"/>
      <c r="K173" s="337"/>
      <c r="L173" s="337"/>
      <c r="M173" s="337"/>
      <c r="N173" s="337"/>
      <c r="O173" s="358"/>
      <c r="P173" s="338"/>
      <c r="Q173" s="337"/>
      <c r="R173" s="337"/>
      <c r="S173" s="337"/>
      <c r="T173" s="337"/>
      <c r="U173" s="337"/>
      <c r="V173" s="835"/>
      <c r="W173" s="353"/>
      <c r="X173" s="357"/>
      <c r="Y173" s="337"/>
      <c r="Z173" s="356">
        <f>ROUND(E173+G173+I173+K173+L173+M173+N173+O173+Q173+R173+S173+T173+U173+W173+X173+Y173,3)</f>
        <v>0.2</v>
      </c>
      <c r="AA173" s="344">
        <f>Z173*B173</f>
        <v>110</v>
      </c>
    </row>
    <row r="174" spans="1:27" ht="15" customHeight="1" thickTop="1">
      <c r="A174" s="133"/>
      <c r="B174" s="213"/>
      <c r="C174" s="427" t="s">
        <v>72</v>
      </c>
      <c r="D174" s="287"/>
      <c r="E174" s="268"/>
      <c r="F174" s="112"/>
      <c r="G174" s="106"/>
      <c r="H174" s="112"/>
      <c r="I174" s="106"/>
      <c r="J174" s="112"/>
      <c r="K174" s="106"/>
      <c r="L174" s="114"/>
      <c r="M174" s="114"/>
      <c r="N174" s="106"/>
      <c r="O174" s="251"/>
      <c r="P174" s="177">
        <f>7/140*P121</f>
        <v>7</v>
      </c>
      <c r="Q174" s="114">
        <f>P174/P121*Q121</f>
        <v>7</v>
      </c>
      <c r="R174" s="106"/>
      <c r="S174" s="106"/>
      <c r="T174" s="106"/>
      <c r="U174" s="127"/>
      <c r="V174" s="406"/>
      <c r="W174" s="268"/>
      <c r="X174" s="106"/>
      <c r="Y174" s="106"/>
      <c r="Z174" s="125"/>
      <c r="AA174" s="123"/>
    </row>
    <row r="175" spans="1:27" ht="16.5" thickBot="1">
      <c r="A175" s="346" t="str">
        <f>A80</f>
        <v>Рис</v>
      </c>
      <c r="B175" s="347">
        <f>B80</f>
        <v>81.92</v>
      </c>
      <c r="C175" s="348" t="s">
        <v>73</v>
      </c>
      <c r="D175" s="385"/>
      <c r="E175" s="353"/>
      <c r="F175" s="338"/>
      <c r="G175" s="337"/>
      <c r="H175" s="338"/>
      <c r="I175" s="337"/>
      <c r="J175" s="338"/>
      <c r="K175" s="337"/>
      <c r="L175" s="342"/>
      <c r="M175" s="342"/>
      <c r="N175" s="337"/>
      <c r="O175" s="358"/>
      <c r="P175" s="349">
        <f>P174*F120/1000</f>
        <v>0.7</v>
      </c>
      <c r="Q175" s="339">
        <f>P175</f>
        <v>0.7</v>
      </c>
      <c r="R175" s="337"/>
      <c r="S175" s="337"/>
      <c r="T175" s="337"/>
      <c r="U175" s="340"/>
      <c r="V175" s="835"/>
      <c r="W175" s="353"/>
      <c r="X175" s="337"/>
      <c r="Y175" s="337"/>
      <c r="Z175" s="343">
        <f>ROUND(E175+G175+I175+K175+L175+M175+N175+O175+Q175+R175+S175+T175+U175+W175+X175+Y175,2)</f>
        <v>0.7</v>
      </c>
      <c r="AA175" s="344">
        <f>Z175*B175</f>
        <v>57.343999999999994</v>
      </c>
    </row>
    <row r="176" spans="1:27" ht="15" customHeight="1" thickTop="1">
      <c r="A176" s="133"/>
      <c r="B176" s="213"/>
      <c r="C176" s="427" t="s">
        <v>72</v>
      </c>
      <c r="D176" s="305"/>
      <c r="E176" s="268"/>
      <c r="F176" s="112"/>
      <c r="G176" s="106"/>
      <c r="H176" s="112"/>
      <c r="I176" s="255"/>
      <c r="J176" s="112"/>
      <c r="K176" s="106"/>
      <c r="L176" s="106"/>
      <c r="M176" s="106"/>
      <c r="N176" s="127"/>
      <c r="O176" s="251"/>
      <c r="P176" s="112"/>
      <c r="Q176" s="129"/>
      <c r="R176" s="131"/>
      <c r="S176" s="106"/>
      <c r="T176" s="106"/>
      <c r="U176" s="127"/>
      <c r="V176" s="890"/>
      <c r="W176" s="129"/>
      <c r="X176" s="106"/>
      <c r="Y176" s="106"/>
      <c r="Z176" s="125"/>
      <c r="AA176" s="123"/>
    </row>
    <row r="177" spans="1:27" ht="16.5" thickBot="1">
      <c r="A177" s="346" t="str">
        <f>A82</f>
        <v>Паста томатная</v>
      </c>
      <c r="B177" s="347">
        <f>B82</f>
        <v>370</v>
      </c>
      <c r="C177" s="348" t="s">
        <v>73</v>
      </c>
      <c r="D177" s="385"/>
      <c r="E177" s="353"/>
      <c r="F177" s="338"/>
      <c r="G177" s="337"/>
      <c r="H177" s="338"/>
      <c r="I177" s="337"/>
      <c r="J177" s="338"/>
      <c r="K177" s="337"/>
      <c r="L177" s="337"/>
      <c r="M177" s="337"/>
      <c r="N177" s="340"/>
      <c r="O177" s="339"/>
      <c r="P177" s="349"/>
      <c r="Q177" s="340"/>
      <c r="R177" s="341"/>
      <c r="S177" s="358"/>
      <c r="T177" s="358"/>
      <c r="U177" s="340"/>
      <c r="V177" s="363"/>
      <c r="W177" s="366"/>
      <c r="X177" s="337"/>
      <c r="Y177" s="337"/>
      <c r="Z177" s="343">
        <f>ROUND(E177+G177+I177+K177+L177+M177+N177+O177+Q177+R177+S177+T177+U177+W177+X177+Y177,2)</f>
        <v>0</v>
      </c>
      <c r="AA177" s="344">
        <f>Z177*B177</f>
        <v>0</v>
      </c>
    </row>
    <row r="178" spans="1:27" ht="15.75" customHeight="1" thickTop="1">
      <c r="A178" s="133"/>
      <c r="B178" s="213"/>
      <c r="C178" s="427" t="s">
        <v>72</v>
      </c>
      <c r="D178" s="287"/>
      <c r="E178" s="271"/>
      <c r="F178" s="112"/>
      <c r="G178" s="105"/>
      <c r="H178" s="112"/>
      <c r="I178" s="105"/>
      <c r="J178" s="112"/>
      <c r="K178" s="105"/>
      <c r="L178" s="105"/>
      <c r="M178" s="105"/>
      <c r="N178" s="105"/>
      <c r="O178" s="250"/>
      <c r="P178" s="112"/>
      <c r="Q178" s="105"/>
      <c r="R178" s="105"/>
      <c r="S178" s="127">
        <v>0.15</v>
      </c>
      <c r="T178" s="105"/>
      <c r="U178" s="127">
        <v>0.09</v>
      </c>
      <c r="V178" s="695"/>
      <c r="W178" s="271"/>
      <c r="X178" s="105"/>
      <c r="Y178" s="105"/>
      <c r="Z178" s="125"/>
      <c r="AA178" s="123"/>
    </row>
    <row r="179" spans="1:27" ht="16.5" thickBot="1">
      <c r="A179" s="346" t="str">
        <f>A84</f>
        <v>Лимонная к-та</v>
      </c>
      <c r="B179" s="347">
        <f>B84</f>
        <v>900</v>
      </c>
      <c r="C179" s="348" t="s">
        <v>73</v>
      </c>
      <c r="D179" s="385"/>
      <c r="E179" s="353"/>
      <c r="F179" s="338"/>
      <c r="G179" s="337"/>
      <c r="H179" s="338"/>
      <c r="I179" s="337"/>
      <c r="J179" s="338"/>
      <c r="K179" s="337"/>
      <c r="L179" s="337"/>
      <c r="M179" s="337"/>
      <c r="N179" s="337"/>
      <c r="O179" s="340"/>
      <c r="P179" s="338"/>
      <c r="Q179" s="337"/>
      <c r="R179" s="337"/>
      <c r="S179" s="357">
        <f>S178*B120/1000</f>
        <v>1.4999999999999999E-2</v>
      </c>
      <c r="T179" s="337"/>
      <c r="U179" s="357">
        <f>U178*B120/1000</f>
        <v>8.9999999999999993E-3</v>
      </c>
      <c r="V179" s="360"/>
      <c r="W179" s="353"/>
      <c r="X179" s="337"/>
      <c r="Y179" s="337"/>
      <c r="Z179" s="356">
        <f>ROUND(E179+G179+I179+K179+L179+M179+N179+O179+Q179+R179+S179+T179+U179+W179+X179+Y179,3)</f>
        <v>2.4E-2</v>
      </c>
      <c r="AA179" s="344">
        <f>Z179*B179</f>
        <v>21.6</v>
      </c>
    </row>
    <row r="180" spans="1:27" ht="15" customHeight="1" thickTop="1">
      <c r="A180" s="133"/>
      <c r="B180" s="215"/>
      <c r="C180" s="77" t="s">
        <v>72</v>
      </c>
      <c r="D180" s="287"/>
      <c r="E180" s="268"/>
      <c r="F180" s="112"/>
      <c r="G180" s="106"/>
      <c r="H180" s="112"/>
      <c r="I180" s="128"/>
      <c r="J180" s="112"/>
      <c r="K180" s="106"/>
      <c r="L180" s="106"/>
      <c r="M180" s="106"/>
      <c r="N180" s="106"/>
      <c r="O180" s="106"/>
      <c r="P180" s="112"/>
      <c r="Q180" s="106"/>
      <c r="R180" s="106"/>
      <c r="S180" s="106"/>
      <c r="T180" s="106"/>
      <c r="U180" s="127"/>
      <c r="V180" s="406"/>
      <c r="W180" s="272"/>
      <c r="X180" s="250">
        <v>0.3</v>
      </c>
      <c r="Y180" s="106"/>
      <c r="Z180" s="125"/>
      <c r="AA180" s="123"/>
    </row>
    <row r="181" spans="1:27" ht="16.5" thickBot="1">
      <c r="A181" s="346" t="str">
        <f>A86</f>
        <v>Чай</v>
      </c>
      <c r="B181" s="347">
        <f>B86</f>
        <v>520</v>
      </c>
      <c r="C181" s="348" t="s">
        <v>73</v>
      </c>
      <c r="D181" s="385"/>
      <c r="E181" s="353"/>
      <c r="F181" s="338"/>
      <c r="G181" s="337"/>
      <c r="H181" s="338"/>
      <c r="I181" s="342"/>
      <c r="J181" s="338"/>
      <c r="K181" s="337"/>
      <c r="L181" s="337"/>
      <c r="M181" s="337"/>
      <c r="N181" s="337"/>
      <c r="O181" s="337"/>
      <c r="P181" s="338"/>
      <c r="Q181" s="337"/>
      <c r="R181" s="337"/>
      <c r="S181" s="337"/>
      <c r="T181" s="337"/>
      <c r="U181" s="340"/>
      <c r="V181" s="835"/>
      <c r="W181" s="367">
        <f>W180*B120/1000</f>
        <v>0</v>
      </c>
      <c r="X181" s="357">
        <f>X180*B120/1000</f>
        <v>0.03</v>
      </c>
      <c r="Y181" s="337"/>
      <c r="Z181" s="356">
        <f>ROUND(E181+G181+I181+K181+L181+M181+N181+O181+Q181+R181+S181+T181+U181+W181+X181+Y181,3)</f>
        <v>0.03</v>
      </c>
      <c r="AA181" s="344">
        <f>Z181*B181</f>
        <v>15.6</v>
      </c>
    </row>
    <row r="182" spans="1:27" ht="15" customHeight="1" thickTop="1">
      <c r="A182" s="133"/>
      <c r="B182" s="215"/>
      <c r="C182" s="77" t="s">
        <v>72</v>
      </c>
      <c r="D182" s="287"/>
      <c r="E182" s="268"/>
      <c r="F182" s="112">
        <v>0.8</v>
      </c>
      <c r="G182" s="128">
        <f>F182/F121*G121</f>
        <v>0.8</v>
      </c>
      <c r="H182" s="112"/>
      <c r="I182" s="106"/>
      <c r="J182" s="112"/>
      <c r="K182" s="106"/>
      <c r="L182" s="106"/>
      <c r="M182" s="106"/>
      <c r="N182" s="106">
        <v>0.5</v>
      </c>
      <c r="O182" s="106"/>
      <c r="P182" s="112">
        <v>0.4</v>
      </c>
      <c r="Q182" s="114">
        <f>P182/P121*Q121</f>
        <v>0.4</v>
      </c>
      <c r="R182" s="131">
        <v>0.3</v>
      </c>
      <c r="S182" s="106"/>
      <c r="T182" s="106"/>
      <c r="U182" s="106">
        <v>0.1</v>
      </c>
      <c r="V182" s="890"/>
      <c r="W182" s="498">
        <v>0.3</v>
      </c>
      <c r="X182" s="106"/>
      <c r="Y182" s="106"/>
      <c r="Z182" s="125"/>
      <c r="AA182" s="123"/>
    </row>
    <row r="183" spans="1:27" ht="16.5" thickBot="1">
      <c r="A183" s="346" t="str">
        <f>A88</f>
        <v>Соль иодиров.</v>
      </c>
      <c r="B183" s="347">
        <f>B88</f>
        <v>28</v>
      </c>
      <c r="C183" s="348" t="s">
        <v>73</v>
      </c>
      <c r="D183" s="385"/>
      <c r="E183" s="353"/>
      <c r="F183" s="349">
        <f>F182*F120/1000</f>
        <v>0.08</v>
      </c>
      <c r="G183" s="339">
        <f>F183</f>
        <v>0.08</v>
      </c>
      <c r="H183" s="338"/>
      <c r="I183" s="337"/>
      <c r="J183" s="338"/>
      <c r="K183" s="337"/>
      <c r="L183" s="337"/>
      <c r="M183" s="337"/>
      <c r="N183" s="339">
        <f>N182*B120/1000</f>
        <v>0.05</v>
      </c>
      <c r="O183" s="339">
        <f>O182*B120/1000</f>
        <v>0</v>
      </c>
      <c r="P183" s="349">
        <f>P182*P120/1000</f>
        <v>0.04</v>
      </c>
      <c r="Q183" s="339">
        <f>P183</f>
        <v>0.04</v>
      </c>
      <c r="R183" s="341">
        <f>R182*B120/1000</f>
        <v>0.03</v>
      </c>
      <c r="S183" s="337"/>
      <c r="T183" s="337"/>
      <c r="U183" s="372">
        <f>U182*B120/1000</f>
        <v>0.01</v>
      </c>
      <c r="V183" s="363"/>
      <c r="W183" s="341">
        <f>W182*B120/1000</f>
        <v>0.03</v>
      </c>
      <c r="X183" s="337"/>
      <c r="Y183" s="337"/>
      <c r="Z183" s="343">
        <f>ROUND(E183+G183+I183+K183+L183+M183+N183+O183+Q183+R183+S183+T183+U183+W183+X183+Y183,2)</f>
        <v>0.24</v>
      </c>
      <c r="AA183" s="344">
        <f>Z183*B183</f>
        <v>6.72</v>
      </c>
    </row>
    <row r="184" spans="1:27" ht="15" customHeight="1" thickTop="1" thickBot="1">
      <c r="A184" s="133"/>
      <c r="B184" s="213"/>
      <c r="C184" s="427" t="s">
        <v>72</v>
      </c>
      <c r="D184" s="287"/>
      <c r="E184" s="268"/>
      <c r="F184" s="112"/>
      <c r="G184" s="106"/>
      <c r="H184" s="112"/>
      <c r="I184" s="106"/>
      <c r="J184" s="112"/>
      <c r="K184" s="106"/>
      <c r="L184" s="106"/>
      <c r="M184" s="106"/>
      <c r="N184" s="106"/>
      <c r="O184" s="106"/>
      <c r="P184" s="112"/>
      <c r="Q184" s="106"/>
      <c r="R184" s="106"/>
      <c r="S184" s="977"/>
      <c r="T184" s="106"/>
      <c r="U184" s="106"/>
      <c r="V184" s="268"/>
      <c r="W184" s="272"/>
      <c r="X184" s="106"/>
      <c r="Y184" s="106"/>
      <c r="Z184" s="125"/>
      <c r="AA184" s="123"/>
    </row>
    <row r="185" spans="1:27" ht="16.5" thickBot="1">
      <c r="A185" s="346">
        <f>A90</f>
        <v>0</v>
      </c>
      <c r="B185" s="347">
        <f>B90</f>
        <v>0</v>
      </c>
      <c r="C185" s="348" t="s">
        <v>73</v>
      </c>
      <c r="D185" s="385"/>
      <c r="E185" s="353"/>
      <c r="F185" s="338"/>
      <c r="G185" s="337"/>
      <c r="H185" s="338"/>
      <c r="I185" s="337"/>
      <c r="J185" s="338"/>
      <c r="K185" s="337"/>
      <c r="L185" s="337"/>
      <c r="M185" s="337"/>
      <c r="N185" s="337"/>
      <c r="O185" s="337"/>
      <c r="P185" s="338"/>
      <c r="Q185" s="337"/>
      <c r="R185" s="337"/>
      <c r="S185" s="976"/>
      <c r="T185" s="337"/>
      <c r="U185" s="372"/>
      <c r="V185" s="353"/>
      <c r="W185" s="350"/>
      <c r="X185" s="337"/>
      <c r="Y185" s="337"/>
      <c r="Z185" s="343">
        <f>ROUND(E185+G185+I185+K185+L185+M185+N185+O185+Q185+R185+S185+T185+U185+W185+X185+Y185,2)</f>
        <v>0</v>
      </c>
      <c r="AA185" s="344">
        <f>Z185*B185</f>
        <v>0</v>
      </c>
    </row>
    <row r="186" spans="1:27" ht="15.75">
      <c r="A186" s="136"/>
      <c r="B186" s="6"/>
      <c r="C186" s="75"/>
      <c r="D186" s="298"/>
      <c r="E186" s="271"/>
      <c r="F186" s="112"/>
      <c r="G186" s="105"/>
      <c r="H186" s="112"/>
      <c r="I186" s="105"/>
      <c r="J186" s="112"/>
      <c r="K186" s="105"/>
      <c r="L186" s="105"/>
      <c r="M186" s="105"/>
      <c r="N186" s="105"/>
      <c r="O186" s="105"/>
      <c r="P186" s="112"/>
      <c r="Q186" s="105"/>
      <c r="R186" s="105"/>
      <c r="S186" s="105"/>
      <c r="T186" s="105"/>
      <c r="U186" s="105"/>
      <c r="V186" s="271"/>
      <c r="W186" s="271"/>
      <c r="X186" s="105"/>
      <c r="Y186" s="105"/>
      <c r="Z186" s="125"/>
      <c r="AA186" s="126">
        <f>AA123+AA125+AA127+AA129+AA131+AA133+AA135+AA137+AA139+AA141+AA143+AA145+AA155+AA157+AA159+AA161+AA163+AA165+AA167+AA169+AA171+AA173+AA175+AA177+AA179+AA181+AA183+AA185</f>
        <v>10154.579499999996</v>
      </c>
    </row>
    <row r="188" spans="1:27">
      <c r="A188" s="43" t="s">
        <v>311</v>
      </c>
      <c r="S188" s="43" t="s">
        <v>30</v>
      </c>
      <c r="AA188" s="118">
        <f>K108</f>
        <v>11000</v>
      </c>
    </row>
    <row r="189" spans="1:27">
      <c r="A189" s="43" t="s">
        <v>50</v>
      </c>
      <c r="S189" s="43" t="s">
        <v>31</v>
      </c>
    </row>
    <row r="190" spans="1:27">
      <c r="A190" s="43" t="s">
        <v>318</v>
      </c>
      <c r="S190" s="43" t="s">
        <v>330</v>
      </c>
    </row>
    <row r="191" spans="1:27">
      <c r="A191" s="43" t="s">
        <v>37</v>
      </c>
      <c r="S191" s="43" t="s">
        <v>31</v>
      </c>
    </row>
  </sheetData>
  <mergeCells count="160">
    <mergeCell ref="O3:AA3"/>
    <mergeCell ref="A6:C6"/>
    <mergeCell ref="E6:G6"/>
    <mergeCell ref="H6:J6"/>
    <mergeCell ref="K6:M6"/>
    <mergeCell ref="B8:C8"/>
    <mergeCell ref="E8:G8"/>
    <mergeCell ref="H8:J8"/>
    <mergeCell ref="K8:M8"/>
    <mergeCell ref="N8:O8"/>
    <mergeCell ref="P8:Q8"/>
    <mergeCell ref="A7:C7"/>
    <mergeCell ref="E7:G7"/>
    <mergeCell ref="H7:J7"/>
    <mergeCell ref="K7:M7"/>
    <mergeCell ref="N7:O7"/>
    <mergeCell ref="P7:Q7"/>
    <mergeCell ref="AA6:AB6"/>
    <mergeCell ref="S7:X8"/>
    <mergeCell ref="Y7:Z7"/>
    <mergeCell ref="AA7:AB7"/>
    <mergeCell ref="Z18:AA18"/>
    <mergeCell ref="E19:K20"/>
    <mergeCell ref="N19:T20"/>
    <mergeCell ref="U19:Y20"/>
    <mergeCell ref="Z19:AA19"/>
    <mergeCell ref="Z20:AA20"/>
    <mergeCell ref="B9:C9"/>
    <mergeCell ref="E9:G9"/>
    <mergeCell ref="H9:J9"/>
    <mergeCell ref="K9:M9"/>
    <mergeCell ref="P9:Q9"/>
    <mergeCell ref="B10:C10"/>
    <mergeCell ref="K10:M10"/>
    <mergeCell ref="S11:Y12"/>
    <mergeCell ref="D21:D23"/>
    <mergeCell ref="E21:E23"/>
    <mergeCell ref="F21:F23"/>
    <mergeCell ref="G21:G23"/>
    <mergeCell ref="H21:I23"/>
    <mergeCell ref="J21:K23"/>
    <mergeCell ref="P11:Q11"/>
    <mergeCell ref="K13:M13"/>
    <mergeCell ref="N15:O15"/>
    <mergeCell ref="S21:S23"/>
    <mergeCell ref="T21:T23"/>
    <mergeCell ref="U21:U23"/>
    <mergeCell ref="X21:X23"/>
    <mergeCell ref="Y21:Y23"/>
    <mergeCell ref="L21:L23"/>
    <mergeCell ref="M21:M23"/>
    <mergeCell ref="N21:N23"/>
    <mergeCell ref="O21:O23"/>
    <mergeCell ref="P21:Q23"/>
    <mergeCell ref="V21:V23"/>
    <mergeCell ref="W21:W23"/>
    <mergeCell ref="R21:R23"/>
    <mergeCell ref="D55:D57"/>
    <mergeCell ref="E55:E57"/>
    <mergeCell ref="F55:G57"/>
    <mergeCell ref="H55:I57"/>
    <mergeCell ref="J55:K57"/>
    <mergeCell ref="L55:L57"/>
    <mergeCell ref="Z52:AA52"/>
    <mergeCell ref="E53:K54"/>
    <mergeCell ref="N53:T54"/>
    <mergeCell ref="U53:Y54"/>
    <mergeCell ref="Z53:AA53"/>
    <mergeCell ref="Z54:AA54"/>
    <mergeCell ref="T55:T57"/>
    <mergeCell ref="U55:U57"/>
    <mergeCell ref="V55:W57"/>
    <mergeCell ref="X55:X57"/>
    <mergeCell ref="Y55:Y57"/>
    <mergeCell ref="R55:R57"/>
    <mergeCell ref="O98:AA98"/>
    <mergeCell ref="M55:M57"/>
    <mergeCell ref="N55:N57"/>
    <mergeCell ref="O55:O57"/>
    <mergeCell ref="P55:Q57"/>
    <mergeCell ref="S55:S57"/>
    <mergeCell ref="P102:Q102"/>
    <mergeCell ref="AA101:AB101"/>
    <mergeCell ref="S102:X103"/>
    <mergeCell ref="Y102:Z102"/>
    <mergeCell ref="AA102:AB102"/>
    <mergeCell ref="B103:C103"/>
    <mergeCell ref="E103:G103"/>
    <mergeCell ref="H103:J103"/>
    <mergeCell ref="K103:M103"/>
    <mergeCell ref="N103:O103"/>
    <mergeCell ref="P103:Q103"/>
    <mergeCell ref="A101:C101"/>
    <mergeCell ref="E101:G101"/>
    <mergeCell ref="H101:J101"/>
    <mergeCell ref="K101:M101"/>
    <mergeCell ref="A102:C102"/>
    <mergeCell ref="E102:G102"/>
    <mergeCell ref="H102:J102"/>
    <mergeCell ref="K102:M102"/>
    <mergeCell ref="N102:O102"/>
    <mergeCell ref="Z113:AA113"/>
    <mergeCell ref="E114:K115"/>
    <mergeCell ref="N114:T115"/>
    <mergeCell ref="U114:Y115"/>
    <mergeCell ref="Z114:AA114"/>
    <mergeCell ref="Z115:AA115"/>
    <mergeCell ref="B104:C104"/>
    <mergeCell ref="E104:G104"/>
    <mergeCell ref="H104:J104"/>
    <mergeCell ref="K104:M104"/>
    <mergeCell ref="P104:Q104"/>
    <mergeCell ref="B105:C105"/>
    <mergeCell ref="K105:M105"/>
    <mergeCell ref="S106:Y107"/>
    <mergeCell ref="D116:D118"/>
    <mergeCell ref="E116:E118"/>
    <mergeCell ref="F116:F118"/>
    <mergeCell ref="G116:G118"/>
    <mergeCell ref="H116:I118"/>
    <mergeCell ref="J116:K118"/>
    <mergeCell ref="P106:Q106"/>
    <mergeCell ref="K108:M108"/>
    <mergeCell ref="N108:O108"/>
    <mergeCell ref="N110:O110"/>
    <mergeCell ref="S116:S118"/>
    <mergeCell ref="T116:T118"/>
    <mergeCell ref="U116:U118"/>
    <mergeCell ref="X116:X118"/>
    <mergeCell ref="Y116:Y118"/>
    <mergeCell ref="L116:L118"/>
    <mergeCell ref="M116:M118"/>
    <mergeCell ref="N116:N118"/>
    <mergeCell ref="O116:O118"/>
    <mergeCell ref="P116:Q118"/>
    <mergeCell ref="V116:V118"/>
    <mergeCell ref="W116:W118"/>
    <mergeCell ref="R116:R118"/>
    <mergeCell ref="D150:D152"/>
    <mergeCell ref="E150:E152"/>
    <mergeCell ref="F150:G152"/>
    <mergeCell ref="H150:I152"/>
    <mergeCell ref="J150:K152"/>
    <mergeCell ref="L150:L152"/>
    <mergeCell ref="Z147:AA147"/>
    <mergeCell ref="E148:K149"/>
    <mergeCell ref="N148:T149"/>
    <mergeCell ref="U148:Y149"/>
    <mergeCell ref="Z148:AA148"/>
    <mergeCell ref="Z149:AA149"/>
    <mergeCell ref="T150:T152"/>
    <mergeCell ref="U150:U152"/>
    <mergeCell ref="V150:W152"/>
    <mergeCell ref="X150:X152"/>
    <mergeCell ref="Y150:Y152"/>
    <mergeCell ref="M150:M152"/>
    <mergeCell ref="N150:N152"/>
    <mergeCell ref="O150:O152"/>
    <mergeCell ref="P150:Q152"/>
    <mergeCell ref="S150:S152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202"/>
  <sheetViews>
    <sheetView showGridLines="0" topLeftCell="A180" zoomScale="95" zoomScaleNormal="95" workbookViewId="0">
      <selection activeCell="L181" sqref="L181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5.28515625" customWidth="1"/>
    <col min="5" max="5" width="6.7109375" customWidth="1"/>
    <col min="6" max="6" width="5.140625" customWidth="1"/>
    <col min="7" max="7" width="7.5703125" customWidth="1"/>
    <col min="8" max="8" width="5.140625" customWidth="1"/>
    <col min="9" max="9" width="8.42578125" customWidth="1"/>
    <col min="10" max="11" width="6.7109375" customWidth="1"/>
    <col min="12" max="12" width="8.28515625" customWidth="1"/>
    <col min="13" max="13" width="7" customWidth="1"/>
    <col min="14" max="14" width="6.5703125" customWidth="1"/>
    <col min="15" max="15" width="6.85546875" customWidth="1"/>
    <col min="16" max="16" width="5.140625" customWidth="1"/>
    <col min="17" max="17" width="8" customWidth="1"/>
    <col min="18" max="18" width="6.7109375" customWidth="1"/>
    <col min="19" max="19" width="7.28515625" customWidth="1"/>
    <col min="20" max="20" width="5.85546875" customWidth="1"/>
    <col min="21" max="21" width="6.42578125" customWidth="1"/>
    <col min="22" max="22" width="0.28515625" customWidth="1"/>
    <col min="23" max="23" width="6.85546875" customWidth="1"/>
    <col min="24" max="24" width="7.85546875" customWidth="1"/>
    <col min="25" max="25" width="7" customWidth="1"/>
    <col min="26" max="26" width="6.28515625" customWidth="1"/>
    <col min="27" max="27" width="8.140625" customWidth="1"/>
    <col min="28" max="28" width="10.28515625" customWidth="1"/>
    <col min="29" max="29" width="4.7109375" customWidth="1"/>
    <col min="30" max="30" width="9.28515625" customWidth="1"/>
  </cols>
  <sheetData>
    <row r="1" spans="1:34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7"/>
      <c r="U1" s="7"/>
      <c r="X1" s="10"/>
      <c r="Y1" s="10"/>
      <c r="Z1" s="10"/>
      <c r="AA1" s="11"/>
      <c r="AB1" s="11"/>
      <c r="AC1" s="7"/>
      <c r="AD1" s="7"/>
      <c r="AE1" s="7"/>
      <c r="AF1" s="7"/>
      <c r="AG1" s="7"/>
      <c r="AH1" s="7"/>
    </row>
    <row r="2" spans="1:34" ht="10.5" customHeight="1">
      <c r="A2" s="3" t="s">
        <v>324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7"/>
      <c r="U2" s="7"/>
      <c r="X2" s="10"/>
      <c r="Y2" s="10"/>
      <c r="Z2" s="10"/>
      <c r="AA2" s="11"/>
      <c r="AB2" s="11"/>
      <c r="AC2" s="7"/>
      <c r="AD2" s="7"/>
      <c r="AE2" s="7"/>
      <c r="AF2" s="7"/>
      <c r="AG2" s="7"/>
      <c r="AH2" s="7"/>
    </row>
    <row r="3" spans="1:34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1060" t="s">
        <v>80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15"/>
      <c r="AD3" s="115"/>
      <c r="AE3" s="7"/>
      <c r="AF3" s="7"/>
      <c r="AG3" s="7"/>
      <c r="AH3" s="7"/>
    </row>
    <row r="4" spans="1:34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AC4" s="7"/>
      <c r="AD4" s="7"/>
      <c r="AE4" s="7"/>
      <c r="AF4" s="7"/>
      <c r="AG4" s="7"/>
      <c r="AH4" s="7"/>
    </row>
    <row r="5" spans="1:34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2"/>
      <c r="N5" s="3"/>
      <c r="O5" s="2"/>
      <c r="P5" s="2"/>
      <c r="Q5" s="2"/>
      <c r="R5" s="2"/>
      <c r="S5" s="2"/>
      <c r="T5" s="1"/>
      <c r="U5" s="1"/>
      <c r="V5" s="7"/>
      <c r="W5" s="7"/>
      <c r="X5" s="7"/>
      <c r="Y5" s="7"/>
      <c r="Z5" s="7"/>
      <c r="AC5" s="7"/>
      <c r="AD5" s="7"/>
      <c r="AE5" s="7"/>
      <c r="AF5" s="7"/>
      <c r="AG5" s="7"/>
      <c r="AH5" s="7"/>
    </row>
    <row r="6" spans="1:34" ht="15.75" customHeight="1" thickBot="1">
      <c r="A6" s="1048" t="s">
        <v>42</v>
      </c>
      <c r="B6" s="1048"/>
      <c r="C6" s="1048"/>
      <c r="D6" s="481"/>
      <c r="E6" s="1047" t="s">
        <v>35</v>
      </c>
      <c r="F6" s="1048"/>
      <c r="G6" s="1049"/>
      <c r="H6" s="1047" t="s">
        <v>60</v>
      </c>
      <c r="I6" s="1048"/>
      <c r="J6" s="1049"/>
      <c r="K6" s="1047" t="s">
        <v>58</v>
      </c>
      <c r="L6" s="1048"/>
      <c r="M6" s="1048"/>
      <c r="N6" s="31"/>
      <c r="O6" s="21"/>
      <c r="P6" s="31"/>
      <c r="Q6" s="21"/>
      <c r="R6" s="3"/>
      <c r="S6" s="3"/>
      <c r="T6" s="7"/>
      <c r="U6" s="7"/>
      <c r="V6" s="7"/>
      <c r="W6" s="7"/>
      <c r="X6" s="7"/>
      <c r="Y6" s="7"/>
      <c r="Z6" s="7"/>
      <c r="AA6" s="1088" t="s">
        <v>0</v>
      </c>
      <c r="AB6" s="1089"/>
      <c r="AC6" s="7"/>
      <c r="AD6" s="7"/>
      <c r="AE6" s="7"/>
      <c r="AF6" s="7"/>
      <c r="AG6" s="7"/>
      <c r="AH6" s="7"/>
    </row>
    <row r="7" spans="1:34" ht="11.25" customHeight="1">
      <c r="A7" s="1059" t="s">
        <v>43</v>
      </c>
      <c r="B7" s="1059"/>
      <c r="C7" s="1059"/>
      <c r="D7" s="479"/>
      <c r="E7" s="1065" t="s">
        <v>34</v>
      </c>
      <c r="F7" s="1066"/>
      <c r="G7" s="1067"/>
      <c r="H7" s="1065" t="s">
        <v>12</v>
      </c>
      <c r="I7" s="1066"/>
      <c r="J7" s="1067"/>
      <c r="K7" s="1065" t="s">
        <v>15</v>
      </c>
      <c r="L7" s="1066"/>
      <c r="M7" s="1108"/>
      <c r="N7" s="1065" t="s">
        <v>14</v>
      </c>
      <c r="O7" s="1067"/>
      <c r="P7" s="1065" t="s">
        <v>55</v>
      </c>
      <c r="Q7" s="1067"/>
      <c r="R7" s="1092" t="s">
        <v>222</v>
      </c>
      <c r="S7" s="1093"/>
      <c r="T7" s="1093"/>
      <c r="U7" s="1093"/>
      <c r="V7" s="1093"/>
      <c r="W7" s="1093"/>
      <c r="Y7" s="1050" t="s">
        <v>190</v>
      </c>
      <c r="Z7" s="1156"/>
      <c r="AA7" s="1090" t="s">
        <v>23</v>
      </c>
      <c r="AB7" s="1091"/>
      <c r="AC7" s="7"/>
      <c r="AD7" s="7"/>
      <c r="AE7" s="7"/>
      <c r="AF7" s="7"/>
      <c r="AG7" s="7"/>
      <c r="AH7" s="7"/>
    </row>
    <row r="8" spans="1:34" ht="10.5" customHeight="1">
      <c r="A8" s="212" t="s">
        <v>44</v>
      </c>
      <c r="B8" s="1047" t="s">
        <v>46</v>
      </c>
      <c r="C8" s="1048"/>
      <c r="D8" s="479"/>
      <c r="E8" s="1065" t="s">
        <v>39</v>
      </c>
      <c r="F8" s="1066"/>
      <c r="G8" s="1067"/>
      <c r="H8" s="1065" t="s">
        <v>49</v>
      </c>
      <c r="I8" s="1066"/>
      <c r="J8" s="1067"/>
      <c r="K8" s="1065" t="s">
        <v>59</v>
      </c>
      <c r="L8" s="1066"/>
      <c r="M8" s="1066"/>
      <c r="N8" s="1065" t="s">
        <v>40</v>
      </c>
      <c r="O8" s="1067"/>
      <c r="P8" s="1065" t="s">
        <v>56</v>
      </c>
      <c r="Q8" s="1067"/>
      <c r="R8" s="1093"/>
      <c r="S8" s="1093"/>
      <c r="T8" s="1093"/>
      <c r="U8" s="1093"/>
      <c r="V8" s="1093"/>
      <c r="W8" s="1093"/>
      <c r="AA8" s="54"/>
      <c r="AB8" s="55"/>
      <c r="AC8" s="7"/>
      <c r="AD8" s="7"/>
      <c r="AE8" s="7"/>
      <c r="AF8" s="7"/>
      <c r="AG8" s="7"/>
      <c r="AH8" s="7"/>
    </row>
    <row r="9" spans="1:34" ht="16.5" customHeight="1">
      <c r="A9" s="211" t="s">
        <v>45</v>
      </c>
      <c r="B9" s="1065" t="s">
        <v>47</v>
      </c>
      <c r="C9" s="1108"/>
      <c r="D9" s="478"/>
      <c r="E9" s="1065" t="s">
        <v>38</v>
      </c>
      <c r="F9" s="1066"/>
      <c r="G9" s="1067"/>
      <c r="H9" s="1065" t="s">
        <v>13</v>
      </c>
      <c r="I9" s="1066"/>
      <c r="J9" s="1067"/>
      <c r="K9" s="1065" t="s">
        <v>38</v>
      </c>
      <c r="L9" s="1066"/>
      <c r="M9" s="1066"/>
      <c r="N9" s="25"/>
      <c r="O9" s="3"/>
      <c r="P9" s="1065" t="s">
        <v>57</v>
      </c>
      <c r="Q9" s="1067"/>
      <c r="R9" s="3" t="s">
        <v>194</v>
      </c>
      <c r="S9" s="548"/>
      <c r="T9" s="548"/>
      <c r="U9" s="120"/>
      <c r="V9" s="120"/>
      <c r="W9" s="120"/>
      <c r="X9" s="120"/>
      <c r="Y9" s="120"/>
      <c r="Z9" s="746" t="s">
        <v>191</v>
      </c>
      <c r="AA9" s="120"/>
      <c r="AB9" s="700"/>
      <c r="AC9" s="120"/>
      <c r="AD9" s="120"/>
      <c r="AE9" s="7"/>
      <c r="AF9" s="7"/>
      <c r="AG9" s="7"/>
      <c r="AH9" s="7"/>
    </row>
    <row r="10" spans="1:34" ht="9.75" customHeight="1">
      <c r="A10" s="17"/>
      <c r="B10" s="1058" t="s">
        <v>48</v>
      </c>
      <c r="C10" s="1059"/>
      <c r="D10" s="479"/>
      <c r="E10" s="33"/>
      <c r="F10" s="3"/>
      <c r="G10" s="30"/>
      <c r="H10" s="3"/>
      <c r="I10" s="3"/>
      <c r="J10" s="30"/>
      <c r="K10" s="1058"/>
      <c r="L10" s="1059"/>
      <c r="M10" s="1059"/>
      <c r="N10" s="25"/>
      <c r="O10" s="3"/>
      <c r="P10" s="25"/>
      <c r="Q10" s="17"/>
      <c r="S10" s="709" t="s">
        <v>96</v>
      </c>
      <c r="W10" s="120"/>
      <c r="Z10" s="56"/>
      <c r="AA10" s="425"/>
      <c r="AB10" s="55"/>
    </row>
    <row r="11" spans="1:34" ht="11.25" customHeight="1" thickBot="1">
      <c r="A11" s="58">
        <v>1</v>
      </c>
      <c r="B11" s="62"/>
      <c r="C11" s="63">
        <v>2</v>
      </c>
      <c r="D11" s="292"/>
      <c r="E11" s="197"/>
      <c r="F11" s="197">
        <v>3</v>
      </c>
      <c r="G11" s="198"/>
      <c r="H11" s="197"/>
      <c r="I11" s="197">
        <v>4</v>
      </c>
      <c r="J11" s="198"/>
      <c r="K11" s="197"/>
      <c r="L11" s="197"/>
      <c r="M11" s="197">
        <v>5</v>
      </c>
      <c r="N11" s="200"/>
      <c r="O11" s="197"/>
      <c r="P11" s="1104">
        <v>7</v>
      </c>
      <c r="Q11" s="1105"/>
      <c r="R11" s="1074" t="s">
        <v>307</v>
      </c>
      <c r="S11" s="1061"/>
      <c r="T11" s="1061"/>
      <c r="U11" s="1061"/>
      <c r="V11" s="1061"/>
      <c r="W11" s="1061"/>
      <c r="X11" s="1061"/>
      <c r="Y11" s="7"/>
      <c r="Z11" s="699" t="s">
        <v>199</v>
      </c>
      <c r="AA11" s="740"/>
      <c r="AB11" s="57"/>
      <c r="AC11" s="7"/>
      <c r="AD11" s="7"/>
      <c r="AE11" s="7"/>
      <c r="AF11" s="7"/>
      <c r="AG11" s="7"/>
      <c r="AH11" s="7"/>
    </row>
    <row r="12" spans="1:34" ht="9" customHeight="1">
      <c r="A12" s="37"/>
      <c r="B12" s="38"/>
      <c r="C12" s="38"/>
      <c r="D12" s="38"/>
      <c r="E12" s="38"/>
      <c r="F12" s="38"/>
      <c r="G12" s="39"/>
      <c r="H12" s="38"/>
      <c r="I12" s="38"/>
      <c r="J12" s="39"/>
      <c r="K12" s="38"/>
      <c r="L12" s="38"/>
      <c r="M12" s="38"/>
      <c r="N12" s="40"/>
      <c r="O12" s="39"/>
      <c r="P12" s="41"/>
      <c r="Q12" s="42"/>
      <c r="R12" s="1061"/>
      <c r="S12" s="1061"/>
      <c r="T12" s="1061"/>
      <c r="U12" s="1061"/>
      <c r="V12" s="1061"/>
      <c r="W12" s="1061"/>
      <c r="X12" s="1061"/>
      <c r="Y12" s="217"/>
      <c r="Z12" s="741"/>
      <c r="AA12" s="32"/>
      <c r="AB12" s="56"/>
      <c r="AC12" s="7"/>
      <c r="AD12" s="7"/>
      <c r="AE12" s="7"/>
      <c r="AF12" s="7"/>
      <c r="AG12" s="7"/>
      <c r="AH12" s="7"/>
    </row>
    <row r="13" spans="1:34" ht="18" customHeight="1">
      <c r="A13" s="780" t="s">
        <v>202</v>
      </c>
      <c r="B13" s="28"/>
      <c r="C13" s="28"/>
      <c r="D13" s="28"/>
      <c r="E13" s="28"/>
      <c r="F13" s="28"/>
      <c r="G13" s="218">
        <v>110</v>
      </c>
      <c r="H13" s="28"/>
      <c r="I13" s="140">
        <f>B25</f>
        <v>100</v>
      </c>
      <c r="J13" s="50"/>
      <c r="K13" s="1075">
        <f>G13*I13</f>
        <v>11000</v>
      </c>
      <c r="L13" s="1114"/>
      <c r="M13" s="1069"/>
      <c r="N13" s="1068">
        <f>AB95/B25</f>
        <v>109.762096</v>
      </c>
      <c r="O13" s="1069"/>
      <c r="P13" s="14"/>
      <c r="Q13" s="52"/>
      <c r="R13" s="3"/>
      <c r="S13" s="710" t="s">
        <v>308</v>
      </c>
      <c r="T13" s="2"/>
      <c r="U13" s="538"/>
      <c r="V13" s="7"/>
      <c r="W13" s="7"/>
      <c r="X13" s="7"/>
      <c r="Y13" s="7"/>
      <c r="Z13" s="610"/>
      <c r="AA13" s="740"/>
      <c r="AB13" s="742"/>
      <c r="AC13" s="7"/>
      <c r="AD13" s="7"/>
      <c r="AE13" s="7"/>
      <c r="AF13" s="7"/>
      <c r="AG13" s="7"/>
      <c r="AH13" s="7"/>
    </row>
    <row r="14" spans="1:34" ht="8.2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49"/>
      <c r="K14" s="28"/>
      <c r="L14" s="28"/>
      <c r="M14" s="28"/>
      <c r="N14" s="51"/>
      <c r="O14" s="27"/>
      <c r="P14" s="14"/>
      <c r="Q14" s="52"/>
      <c r="R14" s="3"/>
      <c r="S14" s="3"/>
      <c r="T14" s="7"/>
      <c r="U14" s="7"/>
      <c r="AA14" s="54"/>
      <c r="AB14" s="56"/>
      <c r="AC14" s="7"/>
      <c r="AD14" s="7"/>
      <c r="AE14" s="7"/>
      <c r="AF14" s="7"/>
      <c r="AG14" s="7"/>
      <c r="AH14" s="7"/>
    </row>
    <row r="15" spans="1:34" ht="15.75" customHeight="1" thickBot="1">
      <c r="A15" s="769"/>
      <c r="B15" s="38"/>
      <c r="C15" s="38"/>
      <c r="D15" s="38"/>
      <c r="E15" s="38"/>
      <c r="F15" s="38"/>
      <c r="G15" s="38"/>
      <c r="H15" s="38"/>
      <c r="I15" s="3" t="s">
        <v>33</v>
      </c>
      <c r="J15" s="42"/>
      <c r="K15" s="45"/>
      <c r="L15" s="45"/>
      <c r="M15" s="45"/>
      <c r="N15" s="1116">
        <f>N13*B25</f>
        <v>10976.2096</v>
      </c>
      <c r="O15" s="1226"/>
      <c r="P15" s="46"/>
      <c r="Q15" s="47"/>
      <c r="R15" s="3" t="s">
        <v>193</v>
      </c>
      <c r="S15" s="7"/>
      <c r="T15" s="7"/>
      <c r="U15" s="549"/>
      <c r="V15" s="711" t="s">
        <v>309</v>
      </c>
      <c r="AA15" s="66"/>
      <c r="AB15" s="67"/>
      <c r="AC15" s="7"/>
      <c r="AD15" s="7"/>
      <c r="AE15" s="7"/>
      <c r="AF15" s="7"/>
      <c r="AG15" s="7"/>
      <c r="AH15" s="7"/>
    </row>
    <row r="16" spans="1:34" ht="11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8"/>
      <c r="L16" s="38"/>
      <c r="M16" s="38"/>
      <c r="N16" s="38"/>
      <c r="O16" s="38"/>
      <c r="P16" s="41"/>
      <c r="Q16" s="38"/>
      <c r="R16" s="3"/>
      <c r="S16" s="3"/>
      <c r="T16" s="7"/>
      <c r="U16" s="7"/>
      <c r="AC16" s="7"/>
      <c r="AD16" s="7"/>
      <c r="AE16" s="7"/>
      <c r="AF16" s="7"/>
      <c r="AG16" s="7"/>
      <c r="AH16" s="7"/>
    </row>
    <row r="17" spans="1:34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7"/>
      <c r="V17" s="7"/>
      <c r="W17" s="7"/>
      <c r="X17" s="7"/>
      <c r="Y17" s="7"/>
      <c r="Z17" s="7"/>
      <c r="AA17" s="8"/>
      <c r="AB17" s="8"/>
      <c r="AC17" s="7"/>
      <c r="AD17" s="7"/>
      <c r="AE17" s="7"/>
      <c r="AF17" s="7"/>
      <c r="AG17" s="7"/>
      <c r="AH17" s="7"/>
    </row>
    <row r="18" spans="1:34" ht="12" customHeight="1">
      <c r="A18" s="26" t="s">
        <v>53</v>
      </c>
      <c r="B18" s="20"/>
      <c r="C18" s="65"/>
      <c r="D18" s="488"/>
      <c r="E18" s="14"/>
      <c r="F18" s="14"/>
      <c r="G18" s="14"/>
      <c r="H18" s="14"/>
      <c r="I18" s="14"/>
      <c r="J18" s="14"/>
      <c r="K18" s="14"/>
      <c r="L18" s="14"/>
      <c r="M18" s="14"/>
      <c r="N18" s="28" t="s">
        <v>41</v>
      </c>
      <c r="O18" s="14"/>
      <c r="P18" s="14"/>
      <c r="Q18" s="14"/>
      <c r="R18" s="14"/>
      <c r="S18" s="28"/>
      <c r="T18" s="28"/>
      <c r="U18" s="28"/>
      <c r="V18" s="14"/>
      <c r="W18" s="14"/>
      <c r="X18" s="14"/>
      <c r="Y18" s="14"/>
      <c r="Z18" s="14"/>
      <c r="AA18" s="1047" t="s">
        <v>8</v>
      </c>
      <c r="AB18" s="1048"/>
      <c r="AC18" s="7"/>
      <c r="AD18" s="7"/>
      <c r="AE18" s="7"/>
      <c r="AF18" s="7"/>
      <c r="AG18" s="7"/>
      <c r="AH18" s="7"/>
    </row>
    <row r="19" spans="1:34" ht="10.5" customHeight="1">
      <c r="A19" s="194"/>
      <c r="B19" s="19"/>
      <c r="C19" s="878" t="s">
        <v>52</v>
      </c>
      <c r="D19" s="885"/>
      <c r="E19" s="1052" t="s">
        <v>306</v>
      </c>
      <c r="F19" s="1084"/>
      <c r="G19" s="1084"/>
      <c r="H19" s="1084"/>
      <c r="I19" s="1084"/>
      <c r="J19" s="1084"/>
      <c r="K19" s="1085"/>
      <c r="L19" s="949" t="s">
        <v>69</v>
      </c>
      <c r="M19" s="1056" t="s">
        <v>16</v>
      </c>
      <c r="N19" s="1052"/>
      <c r="O19" s="1052"/>
      <c r="P19" s="1052"/>
      <c r="Q19" s="1052"/>
      <c r="R19" s="1052"/>
      <c r="S19" s="1052"/>
      <c r="T19" s="1087"/>
      <c r="U19" s="606"/>
      <c r="V19" s="1056" t="s">
        <v>17</v>
      </c>
      <c r="W19" s="1052"/>
      <c r="X19" s="1052"/>
      <c r="Y19" s="1052"/>
      <c r="Z19" s="1052"/>
      <c r="AA19" s="1062" t="s">
        <v>3</v>
      </c>
      <c r="AB19" s="1059"/>
      <c r="AC19" s="7"/>
      <c r="AD19" s="7"/>
      <c r="AE19" s="7"/>
      <c r="AF19" s="7"/>
      <c r="AG19" s="7"/>
      <c r="AH19" s="7"/>
    </row>
    <row r="20" spans="1:34" ht="2.25" customHeight="1">
      <c r="A20" s="196"/>
      <c r="B20" s="5"/>
      <c r="C20" s="5" t="s">
        <v>51</v>
      </c>
      <c r="D20" s="479"/>
      <c r="E20" s="1054"/>
      <c r="F20" s="1054"/>
      <c r="G20" s="1054"/>
      <c r="H20" s="1054"/>
      <c r="I20" s="1054"/>
      <c r="J20" s="1054"/>
      <c r="K20" s="1086"/>
      <c r="L20" s="199"/>
      <c r="M20" s="1057"/>
      <c r="N20" s="1054"/>
      <c r="O20" s="1054"/>
      <c r="P20" s="1054"/>
      <c r="Q20" s="1054"/>
      <c r="R20" s="1054"/>
      <c r="S20" s="1054"/>
      <c r="T20" s="1086"/>
      <c r="U20" s="607"/>
      <c r="V20" s="1057"/>
      <c r="W20" s="1054"/>
      <c r="X20" s="1054"/>
      <c r="Y20" s="1054"/>
      <c r="Z20" s="1054"/>
      <c r="AA20" s="1047" t="s">
        <v>36</v>
      </c>
      <c r="AB20" s="1048"/>
      <c r="AC20" s="8"/>
      <c r="AD20" s="7"/>
      <c r="AE20" s="7"/>
      <c r="AF20" s="7"/>
      <c r="AG20" s="7"/>
      <c r="AH20" s="7"/>
    </row>
    <row r="21" spans="1:34" ht="10.5" customHeight="1">
      <c r="A21" s="196" t="s">
        <v>54</v>
      </c>
      <c r="B21" s="5"/>
      <c r="C21" s="70" t="s">
        <v>9</v>
      </c>
      <c r="D21" s="1041" t="s">
        <v>166</v>
      </c>
      <c r="E21" s="1233" t="s">
        <v>167</v>
      </c>
      <c r="F21" s="1101" t="s">
        <v>139</v>
      </c>
      <c r="G21" s="1230" t="s">
        <v>299</v>
      </c>
      <c r="H21" s="1041" t="s">
        <v>155</v>
      </c>
      <c r="I21" s="1038"/>
      <c r="J21" s="656"/>
      <c r="K21" s="1041" t="s">
        <v>266</v>
      </c>
      <c r="L21" s="1041" t="s">
        <v>242</v>
      </c>
      <c r="M21" s="1070" t="s">
        <v>253</v>
      </c>
      <c r="N21" s="1152" t="s">
        <v>294</v>
      </c>
      <c r="O21" s="1153"/>
      <c r="P21" s="1107" t="s">
        <v>185</v>
      </c>
      <c r="Q21" s="1227" t="s">
        <v>186</v>
      </c>
      <c r="R21" s="659"/>
      <c r="S21" s="1107" t="s">
        <v>255</v>
      </c>
      <c r="T21" s="1070" t="s">
        <v>68</v>
      </c>
      <c r="U21" s="1070" t="s">
        <v>270</v>
      </c>
      <c r="V21" s="1107"/>
      <c r="W21" s="1107" t="s">
        <v>256</v>
      </c>
      <c r="X21" s="1153"/>
      <c r="Y21" s="1070" t="s">
        <v>234</v>
      </c>
      <c r="Z21" s="1070" t="s">
        <v>70</v>
      </c>
      <c r="AA21" s="24"/>
      <c r="AB21" s="23"/>
      <c r="AC21" s="7"/>
      <c r="AD21" s="7"/>
      <c r="AE21" s="7"/>
      <c r="AF21" s="7"/>
      <c r="AG21" s="7"/>
      <c r="AH21" s="7"/>
    </row>
    <row r="22" spans="1:34" ht="10.5" customHeight="1">
      <c r="A22" s="196"/>
      <c r="B22" s="5"/>
      <c r="C22" s="70" t="s">
        <v>10</v>
      </c>
      <c r="D22" s="1042"/>
      <c r="E22" s="1234"/>
      <c r="F22" s="1102"/>
      <c r="G22" s="1231"/>
      <c r="H22" s="1042"/>
      <c r="I22" s="1039"/>
      <c r="J22" s="657"/>
      <c r="K22" s="1042"/>
      <c r="L22" s="1042"/>
      <c r="M22" s="1071"/>
      <c r="N22" s="1154"/>
      <c r="O22" s="1146"/>
      <c r="P22" s="1160"/>
      <c r="Q22" s="1228"/>
      <c r="R22" s="660"/>
      <c r="S22" s="1160"/>
      <c r="T22" s="1071"/>
      <c r="U22" s="1130"/>
      <c r="V22" s="1160"/>
      <c r="W22" s="1203"/>
      <c r="X22" s="1146"/>
      <c r="Y22" s="1071"/>
      <c r="Z22" s="1071"/>
      <c r="AA22" s="19" t="s">
        <v>6</v>
      </c>
      <c r="AB22" s="195" t="s">
        <v>4</v>
      </c>
      <c r="AC22" s="7"/>
      <c r="AD22" s="7"/>
      <c r="AE22" s="7"/>
      <c r="AF22" s="7"/>
      <c r="AG22" s="7"/>
      <c r="AH22" s="7"/>
    </row>
    <row r="23" spans="1:34" ht="93.75" customHeight="1">
      <c r="A23" s="202"/>
      <c r="B23" s="4"/>
      <c r="C23" s="71"/>
      <c r="D23" s="1043"/>
      <c r="E23" s="1235"/>
      <c r="F23" s="1103"/>
      <c r="G23" s="1232"/>
      <c r="H23" s="1043"/>
      <c r="I23" s="1040"/>
      <c r="J23" s="658" t="s">
        <v>171</v>
      </c>
      <c r="K23" s="1043"/>
      <c r="L23" s="1043"/>
      <c r="M23" s="1072"/>
      <c r="N23" s="1155"/>
      <c r="O23" s="1131"/>
      <c r="P23" s="1161"/>
      <c r="Q23" s="1229"/>
      <c r="R23" s="661" t="s">
        <v>182</v>
      </c>
      <c r="S23" s="1161"/>
      <c r="T23" s="1072"/>
      <c r="U23" s="1217"/>
      <c r="V23" s="1161"/>
      <c r="W23" s="1204"/>
      <c r="X23" s="1131"/>
      <c r="Y23" s="1072"/>
      <c r="Z23" s="1072"/>
      <c r="AA23" s="4" t="s">
        <v>7</v>
      </c>
      <c r="AB23" s="201" t="s">
        <v>5</v>
      </c>
      <c r="AC23" s="7"/>
      <c r="AD23" s="7"/>
      <c r="AE23" s="7"/>
      <c r="AF23" s="7"/>
      <c r="AG23" s="7"/>
      <c r="AH23" s="7"/>
    </row>
    <row r="24" spans="1:34" ht="11.25" customHeight="1">
      <c r="A24" s="64">
        <v>1</v>
      </c>
      <c r="B24" s="34">
        <v>2</v>
      </c>
      <c r="C24" s="72">
        <v>3</v>
      </c>
      <c r="D24" s="86">
        <v>4</v>
      </c>
      <c r="E24" s="80">
        <v>5</v>
      </c>
      <c r="F24" s="86">
        <v>6</v>
      </c>
      <c r="G24" s="76">
        <v>7</v>
      </c>
      <c r="H24" s="919">
        <v>8</v>
      </c>
      <c r="I24" s="680">
        <v>9</v>
      </c>
      <c r="J24" s="81">
        <v>10</v>
      </c>
      <c r="K24" s="98">
        <v>11</v>
      </c>
      <c r="L24" s="96">
        <v>12</v>
      </c>
      <c r="M24" s="81">
        <v>13</v>
      </c>
      <c r="N24" s="82">
        <v>14</v>
      </c>
      <c r="O24" s="93">
        <v>15</v>
      </c>
      <c r="P24" s="97">
        <v>16</v>
      </c>
      <c r="Q24" s="93">
        <v>17</v>
      </c>
      <c r="R24" s="80">
        <v>18</v>
      </c>
      <c r="S24" s="96">
        <v>19</v>
      </c>
      <c r="T24" s="98">
        <v>20</v>
      </c>
      <c r="U24" s="96"/>
      <c r="V24" s="80"/>
      <c r="W24" s="80">
        <v>22</v>
      </c>
      <c r="X24" s="96">
        <v>23</v>
      </c>
      <c r="Y24" s="81">
        <v>24</v>
      </c>
      <c r="Z24" s="96">
        <v>25</v>
      </c>
      <c r="AA24" s="35">
        <v>26</v>
      </c>
      <c r="AB24" s="36">
        <v>27</v>
      </c>
      <c r="AC24" s="7"/>
      <c r="AD24" s="7"/>
      <c r="AE24" s="7"/>
      <c r="AF24" s="7"/>
      <c r="AG24" s="7"/>
      <c r="AH24" s="7"/>
    </row>
    <row r="25" spans="1:34" ht="15.95" customHeight="1">
      <c r="A25" s="16" t="s">
        <v>18</v>
      </c>
      <c r="B25" s="221">
        <v>100</v>
      </c>
      <c r="C25" s="73"/>
      <c r="D25" s="89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471">
        <f>B25</f>
        <v>100</v>
      </c>
      <c r="K25" s="99">
        <f>B25</f>
        <v>100</v>
      </c>
      <c r="L25" s="99">
        <f>B25</f>
        <v>100</v>
      </c>
      <c r="M25" s="99">
        <f>B25</f>
        <v>100</v>
      </c>
      <c r="N25" s="677">
        <f>F25</f>
        <v>100</v>
      </c>
      <c r="O25" s="99">
        <f>B25</f>
        <v>100</v>
      </c>
      <c r="P25" s="109">
        <f>F25</f>
        <v>100</v>
      </c>
      <c r="Q25" s="99">
        <f>B25</f>
        <v>100</v>
      </c>
      <c r="R25" s="99">
        <f>B25</f>
        <v>100</v>
      </c>
      <c r="S25" s="99">
        <f>B25</f>
        <v>100</v>
      </c>
      <c r="T25" s="99">
        <f>B25</f>
        <v>100</v>
      </c>
      <c r="U25" s="99">
        <f>B25</f>
        <v>100</v>
      </c>
      <c r="V25" s="99"/>
      <c r="W25" s="248">
        <f>F25</f>
        <v>100</v>
      </c>
      <c r="X25" s="99">
        <f>B25</f>
        <v>100</v>
      </c>
      <c r="Y25" s="99">
        <f>B25</f>
        <v>100</v>
      </c>
      <c r="Z25" s="99">
        <f>B25</f>
        <v>100</v>
      </c>
      <c r="AA25" s="12" t="s">
        <v>66</v>
      </c>
      <c r="AB25" s="68" t="s">
        <v>64</v>
      </c>
      <c r="AC25" s="7"/>
      <c r="AD25" s="7"/>
      <c r="AE25" s="7"/>
      <c r="AF25" s="7"/>
      <c r="AG25" s="7"/>
    </row>
    <row r="26" spans="1:34" ht="15.95" customHeight="1" thickBot="1">
      <c r="A26" s="59" t="s">
        <v>19</v>
      </c>
      <c r="B26" s="60"/>
      <c r="C26" s="74"/>
      <c r="D26" s="91">
        <v>35</v>
      </c>
      <c r="E26" s="119">
        <f>D26*D25/B25</f>
        <v>35</v>
      </c>
      <c r="F26" s="91">
        <v>105</v>
      </c>
      <c r="G26" s="119">
        <f>F26*F25/B25</f>
        <v>105</v>
      </c>
      <c r="H26" s="91">
        <v>180</v>
      </c>
      <c r="I26" s="119">
        <f>H26*H25/B25</f>
        <v>180</v>
      </c>
      <c r="J26" s="643">
        <f>J72/B25*1000</f>
        <v>20</v>
      </c>
      <c r="K26" s="119">
        <f>K52/B25*1000</f>
        <v>40</v>
      </c>
      <c r="L26" s="119">
        <f>L92/B25*1000</f>
        <v>180</v>
      </c>
      <c r="M26" s="119">
        <v>200</v>
      </c>
      <c r="N26" s="138">
        <v>10</v>
      </c>
      <c r="O26" s="119">
        <f>N26*N25/B25</f>
        <v>10</v>
      </c>
      <c r="P26" s="111">
        <v>80</v>
      </c>
      <c r="Q26" s="119">
        <f>P26*P25/B25</f>
        <v>80</v>
      </c>
      <c r="R26" s="119">
        <v>130</v>
      </c>
      <c r="S26" s="100">
        <v>180</v>
      </c>
      <c r="T26" s="119">
        <f>T74/B25*1000</f>
        <v>40</v>
      </c>
      <c r="U26" s="119">
        <f>U94/B25/1.05*1000</f>
        <v>30</v>
      </c>
      <c r="V26" s="119"/>
      <c r="W26" s="249">
        <v>120</v>
      </c>
      <c r="X26" s="119">
        <f>W26*F25/B25</f>
        <v>120</v>
      </c>
      <c r="Y26" s="100">
        <v>180</v>
      </c>
      <c r="Z26" s="119">
        <f>Z76/B25*1000</f>
        <v>20</v>
      </c>
      <c r="AA26" s="61"/>
      <c r="AB26" s="69"/>
      <c r="AC26" s="7"/>
      <c r="AD26" s="7"/>
      <c r="AE26" s="7"/>
      <c r="AF26" s="7"/>
      <c r="AG26" s="7"/>
    </row>
    <row r="27" spans="1:34" ht="15" customHeight="1" thickTop="1">
      <c r="A27" s="133"/>
      <c r="B27" s="5" t="s">
        <v>65</v>
      </c>
      <c r="C27" s="77" t="s">
        <v>72</v>
      </c>
      <c r="D27" s="287"/>
      <c r="E27" s="88"/>
      <c r="F27" s="92"/>
      <c r="G27" s="88"/>
      <c r="H27" s="107"/>
      <c r="I27" s="88"/>
      <c r="J27" s="608"/>
      <c r="K27" s="88"/>
      <c r="L27" s="88"/>
      <c r="M27" s="88"/>
      <c r="N27" s="264"/>
      <c r="O27" s="88"/>
      <c r="P27" s="108">
        <f>71/80*P26</f>
        <v>71</v>
      </c>
      <c r="Q27" s="129">
        <f>P27/P26*Q26</f>
        <v>71</v>
      </c>
      <c r="R27" s="129"/>
      <c r="S27" s="88"/>
      <c r="T27" s="88"/>
      <c r="U27" s="88"/>
      <c r="V27" s="88"/>
      <c r="W27" s="88"/>
      <c r="X27" s="88"/>
      <c r="Y27" s="88"/>
      <c r="Z27" s="88"/>
      <c r="AA27" s="78"/>
      <c r="AB27" s="79"/>
      <c r="AC27" s="7"/>
      <c r="AD27" s="126"/>
      <c r="AE27" s="7"/>
      <c r="AF27" s="7"/>
      <c r="AG27" s="7"/>
    </row>
    <row r="28" spans="1:34" ht="15.75" customHeight="1" thickBot="1">
      <c r="A28" s="634" t="s">
        <v>144</v>
      </c>
      <c r="B28" s="347">
        <v>267.8</v>
      </c>
      <c r="C28" s="348" t="s">
        <v>73</v>
      </c>
      <c r="D28" s="385"/>
      <c r="E28" s="350"/>
      <c r="F28" s="363"/>
      <c r="G28" s="350"/>
      <c r="H28" s="349"/>
      <c r="I28" s="350"/>
      <c r="J28" s="569"/>
      <c r="K28" s="350"/>
      <c r="L28" s="350"/>
      <c r="M28" s="350"/>
      <c r="N28" s="360"/>
      <c r="O28" s="350"/>
      <c r="P28" s="349">
        <f>P27*P25/1000</f>
        <v>7.1</v>
      </c>
      <c r="Q28" s="341">
        <f>P28</f>
        <v>7.1</v>
      </c>
      <c r="R28" s="372"/>
      <c r="S28" s="350"/>
      <c r="T28" s="350"/>
      <c r="U28" s="350"/>
      <c r="V28" s="350"/>
      <c r="W28" s="350"/>
      <c r="X28" s="350"/>
      <c r="Y28" s="350"/>
      <c r="Z28" s="350"/>
      <c r="AA28" s="343">
        <f>ROUND(E28+G28+I28+K28+L28+M28+N28+O28+Q28+S28+T28+U28+V28+X28+Y28+Z28,2)</f>
        <v>7.1</v>
      </c>
      <c r="AB28" s="368">
        <f>AA28*B28</f>
        <v>1901.3799999999999</v>
      </c>
      <c r="AC28" s="7"/>
      <c r="AD28" s="229">
        <f>AA28+AA127</f>
        <v>12.41</v>
      </c>
      <c r="AE28" s="7" t="str">
        <f>A28</f>
        <v>Печень гов. мор.</v>
      </c>
      <c r="AF28" s="7"/>
      <c r="AG28" s="7"/>
    </row>
    <row r="29" spans="1:34" ht="12" customHeight="1" thickTop="1">
      <c r="A29" s="133"/>
      <c r="B29" s="121"/>
      <c r="C29" s="77" t="s">
        <v>72</v>
      </c>
      <c r="D29" s="287"/>
      <c r="E29" s="88"/>
      <c r="F29" s="90"/>
      <c r="G29" s="88"/>
      <c r="H29" s="108"/>
      <c r="I29" s="88"/>
      <c r="J29" s="608"/>
      <c r="K29" s="88"/>
      <c r="L29" s="88"/>
      <c r="M29" s="129"/>
      <c r="N29" s="108">
        <f>17.7/10*N26</f>
        <v>17.7</v>
      </c>
      <c r="O29" s="129">
        <f>N29/N26*O26</f>
        <v>17.7</v>
      </c>
      <c r="P29" s="177"/>
      <c r="Q29" s="129"/>
      <c r="R29" s="129"/>
      <c r="S29" s="88"/>
      <c r="T29" s="88"/>
      <c r="U29" s="88"/>
      <c r="V29" s="88"/>
      <c r="W29" s="88"/>
      <c r="X29" s="88"/>
      <c r="Y29" s="88"/>
      <c r="Z29" s="88"/>
      <c r="AA29" s="213"/>
      <c r="AB29" s="123"/>
      <c r="AC29" s="7"/>
      <c r="AD29" s="123"/>
      <c r="AE29" s="7"/>
      <c r="AF29" s="7"/>
      <c r="AG29" s="7"/>
    </row>
    <row r="30" spans="1:34" ht="15.75" customHeight="1" thickBot="1">
      <c r="A30" s="346" t="s">
        <v>254</v>
      </c>
      <c r="B30" s="347">
        <v>470.6</v>
      </c>
      <c r="C30" s="348" t="s">
        <v>73</v>
      </c>
      <c r="D30" s="385"/>
      <c r="E30" s="350"/>
      <c r="F30" s="363"/>
      <c r="G30" s="350"/>
      <c r="H30" s="349"/>
      <c r="I30" s="350"/>
      <c r="J30" s="569"/>
      <c r="K30" s="350"/>
      <c r="L30" s="350"/>
      <c r="M30" s="341"/>
      <c r="N30" s="349">
        <f>N29*N25/1000</f>
        <v>1.77</v>
      </c>
      <c r="O30" s="341">
        <f>N30</f>
        <v>1.77</v>
      </c>
      <c r="P30" s="349"/>
      <c r="Q30" s="350"/>
      <c r="R30" s="350"/>
      <c r="S30" s="350"/>
      <c r="T30" s="350"/>
      <c r="U30" s="350"/>
      <c r="V30" s="350"/>
      <c r="W30" s="341"/>
      <c r="X30" s="350"/>
      <c r="Y30" s="350"/>
      <c r="Z30" s="350"/>
      <c r="AA30" s="343">
        <f>ROUND(E30+G30+I30+K30+L30+M30+O30+Q30+S30+T30+U30+V30+X30+Y30+Z30,2)</f>
        <v>1.77</v>
      </c>
      <c r="AB30" s="368">
        <f>AA30*B30</f>
        <v>832.9620000000001</v>
      </c>
      <c r="AC30" s="7"/>
      <c r="AD30" s="229">
        <f>AA30+AA129</f>
        <v>3.54</v>
      </c>
      <c r="AE30" s="7" t="str">
        <f>A30</f>
        <v>Мясо  гов.</v>
      </c>
      <c r="AF30" s="7"/>
      <c r="AG30" s="7"/>
    </row>
    <row r="31" spans="1:34" ht="13.5" customHeight="1" thickTop="1">
      <c r="A31" s="133"/>
      <c r="B31" s="121"/>
      <c r="C31" s="77" t="s">
        <v>72</v>
      </c>
      <c r="D31" s="306">
        <v>5</v>
      </c>
      <c r="E31" s="129">
        <f>D31/D26*E26</f>
        <v>5</v>
      </c>
      <c r="F31" s="90">
        <v>3</v>
      </c>
      <c r="G31" s="129">
        <f>F31/F26*G26</f>
        <v>3</v>
      </c>
      <c r="H31" s="108"/>
      <c r="I31" s="88"/>
      <c r="J31" s="608"/>
      <c r="K31" s="88"/>
      <c r="L31" s="88"/>
      <c r="M31" s="88"/>
      <c r="N31" s="264"/>
      <c r="O31" s="131"/>
      <c r="P31" s="108">
        <f>0.8/80*P26</f>
        <v>0.8</v>
      </c>
      <c r="Q31" s="129">
        <f>P31/P26*Q26</f>
        <v>0.8</v>
      </c>
      <c r="R31" s="131">
        <v>4.5</v>
      </c>
      <c r="S31" s="88"/>
      <c r="T31" s="88"/>
      <c r="U31" s="88"/>
      <c r="V31" s="131"/>
      <c r="W31" s="113"/>
      <c r="X31" s="129"/>
      <c r="Y31" s="88"/>
      <c r="Z31" s="88"/>
      <c r="AA31" s="214"/>
      <c r="AB31" s="123"/>
      <c r="AC31" s="7"/>
      <c r="AD31" s="123"/>
      <c r="AE31" s="7"/>
      <c r="AF31" s="7"/>
      <c r="AG31" s="7"/>
      <c r="AH31" s="624"/>
    </row>
    <row r="32" spans="1:34" ht="16.5" customHeight="1" thickBot="1">
      <c r="A32" s="346" t="s">
        <v>79</v>
      </c>
      <c r="B32" s="347">
        <v>595</v>
      </c>
      <c r="C32" s="348" t="s">
        <v>73</v>
      </c>
      <c r="D32" s="501">
        <f>ROUND(D31*F25/1000,2)</f>
        <v>0.5</v>
      </c>
      <c r="E32" s="341">
        <f>D32</f>
        <v>0.5</v>
      </c>
      <c r="F32" s="363">
        <f>F31*F25/1000</f>
        <v>0.3</v>
      </c>
      <c r="G32" s="341">
        <f>ROUND(F32,2)</f>
        <v>0.3</v>
      </c>
      <c r="H32" s="349"/>
      <c r="I32" s="350"/>
      <c r="J32" s="569"/>
      <c r="K32" s="350"/>
      <c r="L32" s="350"/>
      <c r="M32" s="350"/>
      <c r="N32" s="361"/>
      <c r="O32" s="350"/>
      <c r="P32" s="349">
        <f>P31*P25/1000</f>
        <v>0.08</v>
      </c>
      <c r="Q32" s="341">
        <f>ROUND(P32,2)</f>
        <v>0.08</v>
      </c>
      <c r="R32" s="341">
        <f>ROUND(R31*B25/1000,2)</f>
        <v>0.45</v>
      </c>
      <c r="S32" s="350"/>
      <c r="T32" s="350"/>
      <c r="U32" s="350"/>
      <c r="V32" s="341">
        <f>ROUND(V31*B25/1000,2)</f>
        <v>0</v>
      </c>
      <c r="W32" s="378"/>
      <c r="X32" s="350"/>
      <c r="Y32" s="350"/>
      <c r="Z32" s="350"/>
      <c r="AA32" s="343">
        <f>ROUND(E32+G32+I32+K32+L32+M32+N32+O32+Q32+R32+S32+T32+U32+V32+X32+Y32+Z32,2)</f>
        <v>1.33</v>
      </c>
      <c r="AB32" s="344">
        <f>AA32*B32</f>
        <v>791.35</v>
      </c>
      <c r="AC32" s="7"/>
      <c r="AD32" s="229">
        <f t="shared" ref="AD32:AD52" si="0">AA32+AA131</f>
        <v>2.58</v>
      </c>
      <c r="AE32" s="7" t="str">
        <f>A32</f>
        <v>Масло слив.</v>
      </c>
      <c r="AF32" s="7"/>
      <c r="AG32" s="7"/>
      <c r="AH32" s="7"/>
    </row>
    <row r="33" spans="1:34" ht="12" customHeight="1" thickTop="1">
      <c r="A33" s="133"/>
      <c r="B33" s="121"/>
      <c r="C33" s="77" t="s">
        <v>72</v>
      </c>
      <c r="D33" s="287"/>
      <c r="E33" s="88"/>
      <c r="F33" s="90"/>
      <c r="G33" s="88"/>
      <c r="H33" s="108"/>
      <c r="I33" s="88"/>
      <c r="J33" s="608"/>
      <c r="K33" s="88"/>
      <c r="L33" s="130"/>
      <c r="M33" s="130">
        <v>4</v>
      </c>
      <c r="N33" s="263"/>
      <c r="O33" s="131"/>
      <c r="P33" s="177"/>
      <c r="Q33" s="129"/>
      <c r="R33" s="129"/>
      <c r="S33" s="88"/>
      <c r="T33" s="88"/>
      <c r="U33" s="88"/>
      <c r="V33" s="131"/>
      <c r="W33" s="113">
        <f>6/120*W26</f>
        <v>6</v>
      </c>
      <c r="X33" s="129">
        <f>W33/W26*X26</f>
        <v>6</v>
      </c>
      <c r="Y33" s="88"/>
      <c r="Z33" s="88"/>
      <c r="AA33" s="214"/>
      <c r="AB33" s="123"/>
      <c r="AC33" s="7"/>
      <c r="AD33" s="123"/>
      <c r="AE33" s="7"/>
      <c r="AF33" s="7"/>
      <c r="AG33" s="7"/>
      <c r="AH33" s="7"/>
    </row>
    <row r="34" spans="1:34" ht="15.75" customHeight="1" thickBot="1">
      <c r="A34" s="346" t="s">
        <v>78</v>
      </c>
      <c r="B34" s="347">
        <v>104.42</v>
      </c>
      <c r="C34" s="348" t="s">
        <v>73</v>
      </c>
      <c r="D34" s="385"/>
      <c r="E34" s="350"/>
      <c r="F34" s="363"/>
      <c r="G34" s="350"/>
      <c r="H34" s="349"/>
      <c r="I34" s="350"/>
      <c r="J34" s="569"/>
      <c r="K34" s="350"/>
      <c r="L34" s="339"/>
      <c r="M34" s="339">
        <f>M33*B25/1000</f>
        <v>0.4</v>
      </c>
      <c r="N34" s="360"/>
      <c r="O34" s="341"/>
      <c r="P34" s="349"/>
      <c r="Q34" s="350"/>
      <c r="R34" s="350"/>
      <c r="S34" s="350"/>
      <c r="T34" s="350"/>
      <c r="U34" s="350"/>
      <c r="V34" s="339">
        <f>V33*B25/1000</f>
        <v>0</v>
      </c>
      <c r="W34" s="378">
        <f>W33*F25/1000</f>
        <v>0.6</v>
      </c>
      <c r="X34" s="341">
        <f>ROUND(W34,2)</f>
        <v>0.6</v>
      </c>
      <c r="Y34" s="350"/>
      <c r="Z34" s="350"/>
      <c r="AA34" s="343">
        <f>ROUND(E34+G34+I34+K34+L34+M34+N34+O34+Q34+S34+T34+U34+V34+X34+Y34+Z34,2)</f>
        <v>1</v>
      </c>
      <c r="AB34" s="344">
        <f>AA34*B34</f>
        <v>104.42</v>
      </c>
      <c r="AC34" s="7"/>
      <c r="AD34" s="229">
        <f t="shared" si="0"/>
        <v>1.8599999999999999</v>
      </c>
      <c r="AE34" s="7" t="str">
        <f>A34</f>
        <v>Масло раст.</v>
      </c>
      <c r="AF34" s="7"/>
      <c r="AG34" s="7"/>
      <c r="AH34" s="7"/>
    </row>
    <row r="35" spans="1:34" ht="14.25" customHeight="1" thickTop="1">
      <c r="A35" s="133"/>
      <c r="B35" s="121"/>
      <c r="C35" s="77" t="s">
        <v>72</v>
      </c>
      <c r="D35" s="305"/>
      <c r="E35" s="88"/>
      <c r="F35" s="90"/>
      <c r="G35" s="113"/>
      <c r="H35" s="108">
        <v>110</v>
      </c>
      <c r="I35" s="113">
        <f>H35/H26*I26</f>
        <v>110.00000000000001</v>
      </c>
      <c r="J35" s="608"/>
      <c r="K35" s="88"/>
      <c r="L35" s="88"/>
      <c r="M35" s="88"/>
      <c r="N35" s="263"/>
      <c r="O35" s="88"/>
      <c r="P35" s="177"/>
      <c r="Q35" s="129"/>
      <c r="R35" s="129"/>
      <c r="S35" s="88"/>
      <c r="T35" s="88"/>
      <c r="U35" s="88"/>
      <c r="V35" s="131"/>
      <c r="W35" s="113"/>
      <c r="X35" s="113"/>
      <c r="Y35" s="131"/>
      <c r="Z35" s="88"/>
      <c r="AA35" s="214"/>
      <c r="AB35" s="123"/>
      <c r="AC35" s="7"/>
      <c r="AD35" s="123"/>
      <c r="AE35" s="7"/>
      <c r="AF35" s="7"/>
      <c r="AG35" s="7"/>
      <c r="AH35" s="7"/>
    </row>
    <row r="36" spans="1:34" ht="15.95" customHeight="1" thickBot="1">
      <c r="A36" s="346" t="s">
        <v>81</v>
      </c>
      <c r="B36" s="347">
        <v>67.8</v>
      </c>
      <c r="C36" s="348" t="s">
        <v>73</v>
      </c>
      <c r="D36" s="385"/>
      <c r="E36" s="350"/>
      <c r="F36" s="384"/>
      <c r="G36" s="365"/>
      <c r="H36" s="349">
        <f>H35*H25/1000</f>
        <v>11</v>
      </c>
      <c r="I36" s="365">
        <f>H36</f>
        <v>11</v>
      </c>
      <c r="J36" s="569"/>
      <c r="K36" s="350"/>
      <c r="L36" s="350"/>
      <c r="M36" s="350"/>
      <c r="N36" s="360"/>
      <c r="O36" s="350"/>
      <c r="P36" s="349"/>
      <c r="Q36" s="350"/>
      <c r="R36" s="350"/>
      <c r="S36" s="350"/>
      <c r="T36" s="350"/>
      <c r="U36" s="350"/>
      <c r="V36" s="365">
        <f>V35*B25/1000</f>
        <v>0</v>
      </c>
      <c r="W36" s="378"/>
      <c r="X36" s="422"/>
      <c r="Y36" s="350"/>
      <c r="Z36" s="350"/>
      <c r="AA36" s="356">
        <f>ROUND(E36+G36+I36+K36+L36+M36+N36+O36+Q36+S36+T36+U36+V36+X36+Y36+Z36,2)</f>
        <v>11</v>
      </c>
      <c r="AB36" s="344">
        <f>AA36*B36</f>
        <v>745.8</v>
      </c>
      <c r="AC36" s="7"/>
      <c r="AD36" s="230">
        <f t="shared" si="0"/>
        <v>20.2</v>
      </c>
      <c r="AE36" s="7" t="str">
        <f>A36</f>
        <v>Молоко св.</v>
      </c>
      <c r="AF36" s="7"/>
      <c r="AG36" s="7"/>
      <c r="AH36" s="7"/>
    </row>
    <row r="37" spans="1:34" ht="13.5" customHeight="1" thickTop="1">
      <c r="A37" s="133"/>
      <c r="B37" s="121"/>
      <c r="C37" s="77" t="s">
        <v>72</v>
      </c>
      <c r="D37" s="287"/>
      <c r="E37" s="88"/>
      <c r="F37" s="90"/>
      <c r="G37" s="113"/>
      <c r="H37" s="108"/>
      <c r="I37" s="88"/>
      <c r="J37" s="608"/>
      <c r="K37" s="88"/>
      <c r="L37" s="88"/>
      <c r="M37" s="88"/>
      <c r="N37" s="263"/>
      <c r="O37" s="129"/>
      <c r="P37" s="430"/>
      <c r="Q37" s="129"/>
      <c r="R37" s="129"/>
      <c r="S37" s="88"/>
      <c r="T37" s="88"/>
      <c r="U37" s="88"/>
      <c r="V37" s="113"/>
      <c r="W37" s="113">
        <f>67.6/120*W26</f>
        <v>67.599999999999994</v>
      </c>
      <c r="X37" s="113">
        <f>W37/W26*X26</f>
        <v>67.599999999999994</v>
      </c>
      <c r="Y37" s="88"/>
      <c r="Z37" s="88"/>
      <c r="AA37" s="214"/>
      <c r="AB37" s="123"/>
      <c r="AC37" s="7"/>
      <c r="AD37" s="123"/>
      <c r="AE37" s="7"/>
      <c r="AF37" s="7"/>
      <c r="AG37" s="7"/>
      <c r="AH37" s="7"/>
    </row>
    <row r="38" spans="1:34" ht="15.95" customHeight="1" thickBot="1">
      <c r="A38" s="634" t="s">
        <v>183</v>
      </c>
      <c r="B38" s="347">
        <v>137.69999999999999</v>
      </c>
      <c r="C38" s="348" t="s">
        <v>73</v>
      </c>
      <c r="D38" s="385"/>
      <c r="E38" s="350"/>
      <c r="F38" s="363"/>
      <c r="G38" s="350"/>
      <c r="H38" s="349"/>
      <c r="I38" s="350"/>
      <c r="J38" s="569"/>
      <c r="K38" s="350"/>
      <c r="L38" s="350"/>
      <c r="M38" s="350"/>
      <c r="N38" s="360"/>
      <c r="O38" s="341"/>
      <c r="P38" s="363"/>
      <c r="Q38" s="404"/>
      <c r="R38" s="404"/>
      <c r="S38" s="350"/>
      <c r="T38" s="350"/>
      <c r="U38" s="350"/>
      <c r="V38" s="341"/>
      <c r="W38" s="378">
        <f>W37*F25/1000</f>
        <v>6.7599999999999989</v>
      </c>
      <c r="X38" s="341">
        <f>W38</f>
        <v>6.7599999999999989</v>
      </c>
      <c r="Y38" s="350"/>
      <c r="Z38" s="350"/>
      <c r="AA38" s="343">
        <f>ROUND(E38+G38+I38+K38+L38+M38+N38+O38+Q38+S38+T38+U38+V38+X38+Y38+Z38,2)</f>
        <v>6.76</v>
      </c>
      <c r="AB38" s="344">
        <f>AA38*B38</f>
        <v>930.85199999999986</v>
      </c>
      <c r="AC38" s="7"/>
      <c r="AD38" s="229">
        <f t="shared" si="0"/>
        <v>12.399999999999999</v>
      </c>
      <c r="AE38" s="7" t="str">
        <f>A38</f>
        <v>Минтай с/м потр.</v>
      </c>
      <c r="AF38" s="7"/>
      <c r="AG38" s="7"/>
      <c r="AH38" s="7"/>
    </row>
    <row r="39" spans="1:34" ht="12" customHeight="1" thickTop="1">
      <c r="A39" s="133"/>
      <c r="B39" s="121"/>
      <c r="C39" s="77" t="s">
        <v>72</v>
      </c>
      <c r="D39" s="287"/>
      <c r="E39" s="88"/>
      <c r="F39" s="90"/>
      <c r="G39" s="113"/>
      <c r="H39" s="108"/>
      <c r="I39" s="88"/>
      <c r="J39" s="608"/>
      <c r="K39" s="88"/>
      <c r="L39" s="88"/>
      <c r="M39" s="88"/>
      <c r="N39" s="263"/>
      <c r="O39" s="88"/>
      <c r="P39" s="108">
        <f>9/80*P26</f>
        <v>9</v>
      </c>
      <c r="Q39" s="129">
        <f>P39/P26*Q26</f>
        <v>9</v>
      </c>
      <c r="R39" s="129"/>
      <c r="S39" s="88"/>
      <c r="T39" s="88"/>
      <c r="U39" s="88"/>
      <c r="V39" s="88"/>
      <c r="W39" s="113"/>
      <c r="X39" s="129"/>
      <c r="Y39" s="88"/>
      <c r="Z39" s="88"/>
      <c r="AA39" s="214"/>
      <c r="AB39" s="123"/>
      <c r="AC39" s="7"/>
      <c r="AD39" s="123"/>
      <c r="AE39" s="7"/>
      <c r="AF39" s="7"/>
      <c r="AG39" s="7"/>
      <c r="AH39" s="7"/>
    </row>
    <row r="40" spans="1:34" ht="16.5" customHeight="1" thickBot="1">
      <c r="A40" s="346" t="s">
        <v>20</v>
      </c>
      <c r="B40" s="347">
        <v>227</v>
      </c>
      <c r="C40" s="348" t="s">
        <v>73</v>
      </c>
      <c r="D40" s="385"/>
      <c r="E40" s="350"/>
      <c r="F40" s="363"/>
      <c r="G40" s="350"/>
      <c r="H40" s="349"/>
      <c r="I40" s="350"/>
      <c r="J40" s="569"/>
      <c r="K40" s="350"/>
      <c r="L40" s="350"/>
      <c r="M40" s="350"/>
      <c r="N40" s="360"/>
      <c r="O40" s="350"/>
      <c r="P40" s="363">
        <f>P39*P25/1000</f>
        <v>0.9</v>
      </c>
      <c r="Q40" s="341">
        <f>P40</f>
        <v>0.9</v>
      </c>
      <c r="R40" s="350"/>
      <c r="S40" s="350"/>
      <c r="T40" s="350"/>
      <c r="U40" s="350"/>
      <c r="V40" s="350"/>
      <c r="W40" s="378"/>
      <c r="X40" s="350"/>
      <c r="Y40" s="350"/>
      <c r="Z40" s="350"/>
      <c r="AA40" s="343">
        <f>ROUND(E40+G40+I40+K40+L40+M40+N40+O40+Q40+S40+T40+U40+V40+X40+Y40+Z40,2)</f>
        <v>0.9</v>
      </c>
      <c r="AB40" s="344">
        <f>AA40*B40</f>
        <v>204.3</v>
      </c>
      <c r="AC40" s="7"/>
      <c r="AD40" s="229">
        <f t="shared" si="0"/>
        <v>1.58</v>
      </c>
      <c r="AE40" s="7" t="str">
        <f>A40</f>
        <v>Сметана</v>
      </c>
      <c r="AF40" s="7"/>
      <c r="AG40" s="7"/>
      <c r="AH40" s="7"/>
    </row>
    <row r="41" spans="1:34" ht="12" customHeight="1" thickTop="1">
      <c r="A41" s="133"/>
      <c r="B41" s="121"/>
      <c r="C41" s="77" t="s">
        <v>72</v>
      </c>
      <c r="D41" s="287"/>
      <c r="E41" s="88"/>
      <c r="F41" s="90"/>
      <c r="G41" s="113"/>
      <c r="H41" s="108"/>
      <c r="I41" s="88"/>
      <c r="J41" s="608"/>
      <c r="K41" s="88"/>
      <c r="L41" s="88"/>
      <c r="M41" s="88"/>
      <c r="N41" s="263"/>
      <c r="O41" s="131"/>
      <c r="P41" s="108">
        <f>2.7/80*P26</f>
        <v>2.7</v>
      </c>
      <c r="Q41" s="129">
        <f>P41/P26*Q26</f>
        <v>2.7</v>
      </c>
      <c r="R41" s="129"/>
      <c r="S41" s="88"/>
      <c r="T41" s="88"/>
      <c r="U41" s="88"/>
      <c r="V41" s="131"/>
      <c r="W41" s="113"/>
      <c r="X41" s="129"/>
      <c r="Y41" s="88"/>
      <c r="Z41" s="88"/>
      <c r="AA41" s="214"/>
      <c r="AB41" s="123"/>
      <c r="AC41" s="7"/>
      <c r="AD41" s="123"/>
      <c r="AE41" s="7"/>
      <c r="AF41" s="7"/>
      <c r="AG41" s="7"/>
      <c r="AH41" s="7"/>
    </row>
    <row r="42" spans="1:34" ht="18.2" customHeight="1" thickBot="1">
      <c r="A42" s="346" t="s">
        <v>76</v>
      </c>
      <c r="B42" s="347">
        <v>29.08</v>
      </c>
      <c r="C42" s="348" t="s">
        <v>73</v>
      </c>
      <c r="D42" s="385"/>
      <c r="E42" s="350"/>
      <c r="F42" s="363"/>
      <c r="G42" s="350"/>
      <c r="H42" s="349"/>
      <c r="I42" s="350"/>
      <c r="J42" s="569"/>
      <c r="K42" s="350"/>
      <c r="L42" s="350"/>
      <c r="M42" s="350"/>
      <c r="N42" s="360"/>
      <c r="O42" s="341"/>
      <c r="P42" s="363">
        <f>P41*P25/1000</f>
        <v>0.27</v>
      </c>
      <c r="Q42" s="341">
        <f>P42</f>
        <v>0.27</v>
      </c>
      <c r="R42" s="350"/>
      <c r="S42" s="350"/>
      <c r="T42" s="350"/>
      <c r="U42" s="350"/>
      <c r="V42" s="339">
        <f>V41*B25/1000</f>
        <v>0</v>
      </c>
      <c r="W42" s="378"/>
      <c r="X42" s="341"/>
      <c r="Y42" s="350"/>
      <c r="Z42" s="350"/>
      <c r="AA42" s="343">
        <f>ROUND(E42+G42+I42+K42+L42+M42+N42+O42+Q42+S42+T42+U42+V42+X42+Y42+Z42,2)</f>
        <v>0.27</v>
      </c>
      <c r="AB42" s="344">
        <f>AA42*B42</f>
        <v>7.8516000000000004</v>
      </c>
      <c r="AC42" s="7"/>
      <c r="AD42" s="229">
        <f t="shared" si="0"/>
        <v>0.47000000000000003</v>
      </c>
      <c r="AE42" s="7" t="str">
        <f>A42</f>
        <v>Мука пшен.</v>
      </c>
      <c r="AF42" s="7"/>
      <c r="AG42" s="7"/>
      <c r="AH42" s="7"/>
    </row>
    <row r="43" spans="1:34" ht="12" customHeight="1" thickTop="1">
      <c r="A43" s="133"/>
      <c r="B43" s="121"/>
      <c r="C43" s="77" t="s">
        <v>72</v>
      </c>
      <c r="D43" s="497"/>
      <c r="E43" s="129"/>
      <c r="F43" s="90"/>
      <c r="G43" s="129"/>
      <c r="H43" s="108"/>
      <c r="I43" s="88"/>
      <c r="J43" s="608"/>
      <c r="K43" s="88"/>
      <c r="L43" s="88"/>
      <c r="M43" s="88"/>
      <c r="N43" s="113"/>
      <c r="O43" s="129"/>
      <c r="P43" s="108"/>
      <c r="Q43" s="129"/>
      <c r="R43" s="129"/>
      <c r="S43" s="88"/>
      <c r="T43" s="88"/>
      <c r="U43" s="88"/>
      <c r="V43" s="131"/>
      <c r="W43" s="113">
        <f>5/120*W26</f>
        <v>5</v>
      </c>
      <c r="X43" s="129">
        <f>W43/W38*X38</f>
        <v>5</v>
      </c>
      <c r="Y43" s="88"/>
      <c r="Z43" s="88"/>
      <c r="AA43" s="214"/>
      <c r="AB43" s="123"/>
      <c r="AC43" s="7"/>
      <c r="AD43" s="123"/>
      <c r="AE43" s="7"/>
      <c r="AF43" s="7"/>
      <c r="AG43" s="7"/>
      <c r="AH43" s="7"/>
    </row>
    <row r="44" spans="1:34" ht="15.75" customHeight="1" thickBot="1">
      <c r="A44" s="346" t="s">
        <v>129</v>
      </c>
      <c r="B44" s="347">
        <v>10</v>
      </c>
      <c r="C44" s="348" t="s">
        <v>74</v>
      </c>
      <c r="D44" s="363"/>
      <c r="E44" s="341"/>
      <c r="F44" s="363"/>
      <c r="G44" s="350"/>
      <c r="H44" s="349"/>
      <c r="I44" s="350"/>
      <c r="J44" s="569"/>
      <c r="K44" s="350"/>
      <c r="L44" s="350"/>
      <c r="M44" s="350"/>
      <c r="N44" s="530"/>
      <c r="O44" s="470"/>
      <c r="P44" s="349"/>
      <c r="Q44" s="350"/>
      <c r="R44" s="350"/>
      <c r="S44" s="350"/>
      <c r="T44" s="350"/>
      <c r="U44" s="350"/>
      <c r="V44" s="470">
        <f>ROUND(V43*B25/1000/0.048,0)</f>
        <v>0</v>
      </c>
      <c r="W44" s="530">
        <f>ROUND(W43*F25/48,0)</f>
        <v>10</v>
      </c>
      <c r="X44" s="470">
        <f>ROUND(W44,0)</f>
        <v>10</v>
      </c>
      <c r="Y44" s="350"/>
      <c r="Z44" s="350"/>
      <c r="AA44" s="472">
        <f>ROUND(E44+G44+I44+K44+L44+M44+O44+Q44+S44+T44+U44+V44+X44+Y44+Z44,0)</f>
        <v>10</v>
      </c>
      <c r="AB44" s="344">
        <f>AA44*B44</f>
        <v>100</v>
      </c>
      <c r="AC44" s="7"/>
      <c r="AD44" s="229">
        <f t="shared" si="0"/>
        <v>19</v>
      </c>
      <c r="AE44" s="7" t="str">
        <f>A44</f>
        <v>Яйцо диет.</v>
      </c>
      <c r="AF44" s="7"/>
      <c r="AG44" s="7"/>
      <c r="AH44" s="7"/>
    </row>
    <row r="45" spans="1:34" ht="12" customHeight="1" thickTop="1">
      <c r="A45" s="133"/>
      <c r="B45" s="121"/>
      <c r="C45" s="77" t="s">
        <v>72</v>
      </c>
      <c r="D45" s="287"/>
      <c r="E45" s="88"/>
      <c r="F45" s="90">
        <v>35</v>
      </c>
      <c r="G45" s="129">
        <f>F45/F26*G26</f>
        <v>35</v>
      </c>
      <c r="H45" s="108"/>
      <c r="I45" s="88"/>
      <c r="J45" s="608"/>
      <c r="K45" s="88"/>
      <c r="L45" s="88"/>
      <c r="M45" s="88"/>
      <c r="N45" s="263"/>
      <c r="O45" s="88"/>
      <c r="P45" s="10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214"/>
      <c r="AB45" s="123"/>
      <c r="AC45" s="7"/>
      <c r="AD45" s="123"/>
      <c r="AE45" s="7"/>
      <c r="AF45" s="7"/>
      <c r="AG45" s="7"/>
      <c r="AH45" s="7"/>
    </row>
    <row r="46" spans="1:34" ht="15.75" customHeight="1" thickBot="1">
      <c r="A46" s="346" t="s">
        <v>257</v>
      </c>
      <c r="B46" s="347">
        <v>42.1</v>
      </c>
      <c r="C46" s="348" t="s">
        <v>73</v>
      </c>
      <c r="D46" s="385"/>
      <c r="E46" s="350"/>
      <c r="F46" s="363">
        <f>F45*F25/1000</f>
        <v>3.5</v>
      </c>
      <c r="G46" s="341">
        <f>F46</f>
        <v>3.5</v>
      </c>
      <c r="H46" s="349"/>
      <c r="I46" s="350"/>
      <c r="J46" s="569"/>
      <c r="K46" s="350"/>
      <c r="L46" s="350"/>
      <c r="M46" s="350"/>
      <c r="N46" s="360"/>
      <c r="O46" s="350"/>
      <c r="P46" s="349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43">
        <f>ROUND(E46+G46+I46+K46+L46+M46+N46+O46+Q46+S46+T46+U46+V46+X46+Y46+Z46,2)</f>
        <v>3.5</v>
      </c>
      <c r="AB46" s="344">
        <f>AA46*B46</f>
        <v>147.35</v>
      </c>
      <c r="AC46" s="7"/>
      <c r="AD46" s="229">
        <f t="shared" si="0"/>
        <v>7</v>
      </c>
      <c r="AE46" s="7" t="str">
        <f>A46</f>
        <v>Макар. изд.</v>
      </c>
      <c r="AF46" s="7"/>
      <c r="AG46" s="7"/>
      <c r="AH46" s="7"/>
    </row>
    <row r="47" spans="1:34" ht="13.5" customHeight="1" thickTop="1">
      <c r="A47" s="133"/>
      <c r="B47" s="121"/>
      <c r="C47" s="77" t="s">
        <v>72</v>
      </c>
      <c r="D47" s="287"/>
      <c r="E47" s="88"/>
      <c r="F47" s="90">
        <v>2</v>
      </c>
      <c r="G47" s="113">
        <f>F47/F26*G26</f>
        <v>2</v>
      </c>
      <c r="H47" s="108">
        <v>7</v>
      </c>
      <c r="I47" s="113">
        <f>H47/H26*I26</f>
        <v>7</v>
      </c>
      <c r="J47" s="608"/>
      <c r="K47" s="88"/>
      <c r="L47" s="130"/>
      <c r="M47" s="88"/>
      <c r="N47" s="264"/>
      <c r="O47" s="131"/>
      <c r="P47" s="108"/>
      <c r="Q47" s="88"/>
      <c r="R47" s="88"/>
      <c r="S47" s="131">
        <v>8</v>
      </c>
      <c r="T47" s="88"/>
      <c r="U47" s="88"/>
      <c r="V47" s="131"/>
      <c r="W47" s="131"/>
      <c r="X47" s="131"/>
      <c r="Y47" s="131">
        <v>7</v>
      </c>
      <c r="Z47" s="88"/>
      <c r="AA47" s="214"/>
      <c r="AB47" s="123"/>
      <c r="AC47" s="7"/>
      <c r="AD47" s="123"/>
      <c r="AE47" s="7"/>
      <c r="AF47" s="7"/>
      <c r="AG47" s="7"/>
      <c r="AH47" s="7"/>
    </row>
    <row r="48" spans="1:34" ht="16.5" customHeight="1" thickBot="1">
      <c r="A48" s="346" t="s">
        <v>77</v>
      </c>
      <c r="B48" s="347">
        <v>62.77</v>
      </c>
      <c r="C48" s="348" t="s">
        <v>73</v>
      </c>
      <c r="D48" s="385"/>
      <c r="E48" s="350"/>
      <c r="F48" s="363">
        <f>F47*F25/1000</f>
        <v>0.2</v>
      </c>
      <c r="G48" s="341">
        <f>F48</f>
        <v>0.2</v>
      </c>
      <c r="H48" s="349">
        <f>H47*H25/1000</f>
        <v>0.7</v>
      </c>
      <c r="I48" s="341">
        <f>ROUND(H48,2)</f>
        <v>0.7</v>
      </c>
      <c r="J48" s="569"/>
      <c r="K48" s="350"/>
      <c r="L48" s="339"/>
      <c r="M48" s="350"/>
      <c r="N48" s="360"/>
      <c r="O48" s="341"/>
      <c r="P48" s="349"/>
      <c r="Q48" s="350"/>
      <c r="R48" s="350"/>
      <c r="S48" s="341">
        <f>ROUND(S47*B25/1000,2)</f>
        <v>0.8</v>
      </c>
      <c r="T48" s="350"/>
      <c r="U48" s="350"/>
      <c r="V48" s="341">
        <f>V47*B25/1000</f>
        <v>0</v>
      </c>
      <c r="W48" s="341"/>
      <c r="X48" s="350"/>
      <c r="Y48" s="341">
        <f>ROUND(Y47*B25/1000,2)</f>
        <v>0.7</v>
      </c>
      <c r="Z48" s="350"/>
      <c r="AA48" s="343">
        <f>ROUND(E48+G48+I48+K48+L48+M48+N48+O48+Q48+S48+T48+U48+V48+X48+Y48+Z48,2)</f>
        <v>2.4</v>
      </c>
      <c r="AB48" s="344">
        <f>AA48*B48</f>
        <v>150.648</v>
      </c>
      <c r="AC48" s="7"/>
      <c r="AD48" s="229">
        <f t="shared" si="0"/>
        <v>4.4000000000000004</v>
      </c>
      <c r="AE48" s="7" t="str">
        <f>A48</f>
        <v>Сахар</v>
      </c>
      <c r="AF48" s="7"/>
      <c r="AG48" s="7"/>
      <c r="AH48" s="7"/>
    </row>
    <row r="49" spans="1:34" ht="15" customHeight="1" thickTop="1">
      <c r="A49" s="133"/>
      <c r="B49" s="121"/>
      <c r="C49" s="77" t="s">
        <v>72</v>
      </c>
      <c r="D49" s="287"/>
      <c r="E49" s="88"/>
      <c r="F49" s="90"/>
      <c r="G49" s="88"/>
      <c r="H49" s="108"/>
      <c r="I49" s="88"/>
      <c r="J49" s="608"/>
      <c r="K49" s="88"/>
      <c r="L49" s="88"/>
      <c r="M49" s="88"/>
      <c r="N49" s="263"/>
      <c r="O49" s="88"/>
      <c r="P49" s="108"/>
      <c r="Q49" s="88"/>
      <c r="R49" s="88"/>
      <c r="S49" s="131">
        <v>18</v>
      </c>
      <c r="T49" s="88"/>
      <c r="U49" s="88"/>
      <c r="V49" s="88"/>
      <c r="W49" s="88"/>
      <c r="X49" s="88"/>
      <c r="Y49" s="88"/>
      <c r="Z49" s="88"/>
      <c r="AA49" s="214"/>
      <c r="AB49" s="123"/>
      <c r="AC49" s="7"/>
      <c r="AD49" s="123"/>
      <c r="AE49" s="7"/>
      <c r="AF49" s="7"/>
      <c r="AG49" s="7"/>
      <c r="AH49" s="7"/>
    </row>
    <row r="50" spans="1:34" ht="15.75" customHeight="1" thickBot="1">
      <c r="A50" s="346" t="s">
        <v>259</v>
      </c>
      <c r="B50" s="347">
        <v>320</v>
      </c>
      <c r="C50" s="348" t="s">
        <v>73</v>
      </c>
      <c r="D50" s="385"/>
      <c r="E50" s="350"/>
      <c r="F50" s="363"/>
      <c r="G50" s="350"/>
      <c r="H50" s="349"/>
      <c r="I50" s="350"/>
      <c r="J50" s="569"/>
      <c r="K50" s="350"/>
      <c r="L50" s="350"/>
      <c r="M50" s="350"/>
      <c r="N50" s="360"/>
      <c r="O50" s="350"/>
      <c r="P50" s="349"/>
      <c r="Q50" s="350"/>
      <c r="R50" s="350"/>
      <c r="S50" s="341">
        <f>S49*B25/1000</f>
        <v>1.8</v>
      </c>
      <c r="T50" s="350"/>
      <c r="U50" s="350"/>
      <c r="V50" s="350"/>
      <c r="W50" s="350"/>
      <c r="X50" s="350"/>
      <c r="Y50" s="350"/>
      <c r="Z50" s="350"/>
      <c r="AA50" s="343">
        <f>ROUND(E50+G50+I50+K50+L50+M50+N50+O50+Q50+S50+T50+U50+V50+X50+Y50+Z50,2)</f>
        <v>1.8</v>
      </c>
      <c r="AB50" s="344">
        <f>AA50*B50</f>
        <v>576</v>
      </c>
      <c r="AC50" s="7"/>
      <c r="AD50" s="229">
        <f t="shared" si="0"/>
        <v>3.3</v>
      </c>
      <c r="AE50" s="7" t="str">
        <f>A50</f>
        <v>Шиповник</v>
      </c>
      <c r="AF50" s="7"/>
      <c r="AG50" s="7"/>
      <c r="AH50" s="7"/>
    </row>
    <row r="51" spans="1:34" ht="12.75" customHeight="1" thickTop="1">
      <c r="A51" s="133"/>
      <c r="B51" s="102"/>
      <c r="C51" s="77" t="s">
        <v>72</v>
      </c>
      <c r="D51" s="287"/>
      <c r="E51" s="104"/>
      <c r="F51" s="103"/>
      <c r="G51" s="113"/>
      <c r="H51" s="108"/>
      <c r="I51" s="104"/>
      <c r="J51" s="608"/>
      <c r="K51" s="137">
        <f>K52/B25*1000</f>
        <v>40</v>
      </c>
      <c r="L51" s="184"/>
      <c r="M51" s="104"/>
      <c r="N51" s="265"/>
      <c r="O51" s="104"/>
      <c r="P51" s="108"/>
      <c r="Q51" s="104"/>
      <c r="R51" s="104"/>
      <c r="S51" s="104"/>
      <c r="T51" s="104"/>
      <c r="U51" s="104"/>
      <c r="V51" s="184"/>
      <c r="W51" s="104"/>
      <c r="X51" s="104"/>
      <c r="Y51" s="104"/>
      <c r="Z51" s="104"/>
      <c r="AA51" s="213"/>
      <c r="AB51" s="123"/>
      <c r="AC51" s="7"/>
      <c r="AD51" s="123"/>
      <c r="AE51" s="7"/>
      <c r="AF51" s="7"/>
      <c r="AG51" s="7"/>
      <c r="AH51" s="7"/>
    </row>
    <row r="52" spans="1:34" ht="15" customHeight="1" thickBot="1">
      <c r="A52" s="346" t="s">
        <v>268</v>
      </c>
      <c r="B52" s="347">
        <v>210</v>
      </c>
      <c r="C52" s="348" t="s">
        <v>73</v>
      </c>
      <c r="D52" s="385"/>
      <c r="E52" s="350"/>
      <c r="F52" s="363"/>
      <c r="G52" s="350"/>
      <c r="H52" s="349"/>
      <c r="I52" s="350"/>
      <c r="J52" s="569"/>
      <c r="K52" s="341">
        <v>4</v>
      </c>
      <c r="L52" s="341"/>
      <c r="M52" s="350"/>
      <c r="N52" s="360"/>
      <c r="O52" s="350"/>
      <c r="P52" s="349"/>
      <c r="Q52" s="350"/>
      <c r="R52" s="350"/>
      <c r="S52" s="350"/>
      <c r="T52" s="350"/>
      <c r="U52" s="350"/>
      <c r="V52" s="341"/>
      <c r="W52" s="350"/>
      <c r="X52" s="350"/>
      <c r="Y52" s="350"/>
      <c r="Z52" s="350"/>
      <c r="AA52" s="343">
        <f>ROUND(E52+G52+I52+K52+L52+M52+N52+O52+Q52+S52+T52+V52+X52+Y52+Z52,2)</f>
        <v>4</v>
      </c>
      <c r="AB52" s="344">
        <f>AA52*B52</f>
        <v>840</v>
      </c>
      <c r="AC52" s="7"/>
      <c r="AD52" s="234">
        <f t="shared" si="0"/>
        <v>6</v>
      </c>
      <c r="AE52" s="7" t="str">
        <f>A52</f>
        <v>Печ., вафли</v>
      </c>
      <c r="AF52" s="7"/>
      <c r="AG52" s="7"/>
      <c r="AH52" s="7"/>
    </row>
    <row r="53" spans="1:34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18" t="s">
        <v>71</v>
      </c>
      <c r="AD53" s="228"/>
    </row>
    <row r="54" spans="1:34" ht="12" customHeight="1">
      <c r="A54" s="26" t="s">
        <v>53</v>
      </c>
      <c r="B54" s="20"/>
      <c r="C54" s="65"/>
      <c r="D54" s="65"/>
      <c r="E54" s="14"/>
      <c r="F54" s="14"/>
      <c r="G54" s="14"/>
      <c r="H54" s="14"/>
      <c r="I54" s="14"/>
      <c r="J54" s="14"/>
      <c r="K54" s="14"/>
      <c r="L54" s="14"/>
      <c r="M54" s="14"/>
      <c r="N54" s="28" t="s">
        <v>41</v>
      </c>
      <c r="O54" s="14"/>
      <c r="P54" s="14"/>
      <c r="Q54" s="14"/>
      <c r="R54" s="14"/>
      <c r="S54" s="28" t="s">
        <v>11</v>
      </c>
      <c r="T54" s="28"/>
      <c r="U54" s="28"/>
      <c r="V54" s="14"/>
      <c r="W54" s="14"/>
      <c r="X54" s="14"/>
      <c r="Y54" s="14"/>
      <c r="Z54" s="22"/>
      <c r="AA54" s="1047" t="s">
        <v>8</v>
      </c>
      <c r="AB54" s="1048"/>
      <c r="AC54" s="7"/>
      <c r="AD54" s="228"/>
      <c r="AE54" s="7"/>
      <c r="AF54" s="7"/>
      <c r="AG54" s="7"/>
      <c r="AH54" s="7"/>
    </row>
    <row r="55" spans="1:34" ht="12" customHeight="1">
      <c r="A55" s="194"/>
      <c r="B55" s="19"/>
      <c r="C55" s="5" t="s">
        <v>52</v>
      </c>
      <c r="D55" s="484"/>
      <c r="E55" s="1052" t="str">
        <f>E19</f>
        <v xml:space="preserve">З А В Т Р А К                                    </v>
      </c>
      <c r="F55" s="1052"/>
      <c r="G55" s="1052"/>
      <c r="H55" s="1052"/>
      <c r="I55" s="1052"/>
      <c r="J55" s="1052"/>
      <c r="K55" s="1053"/>
      <c r="L55" s="197"/>
      <c r="M55" s="1056" t="s">
        <v>16</v>
      </c>
      <c r="N55" s="1052"/>
      <c r="O55" s="1052"/>
      <c r="P55" s="1052"/>
      <c r="Q55" s="1052"/>
      <c r="R55" s="1052"/>
      <c r="S55" s="1052"/>
      <c r="T55" s="1053"/>
      <c r="U55" s="606"/>
      <c r="V55" s="1056" t="s">
        <v>17</v>
      </c>
      <c r="W55" s="1052"/>
      <c r="X55" s="1052"/>
      <c r="Y55" s="1052"/>
      <c r="Z55" s="1052"/>
      <c r="AA55" s="1058" t="s">
        <v>3</v>
      </c>
      <c r="AB55" s="1059"/>
      <c r="AC55" s="7"/>
      <c r="AD55" s="228"/>
      <c r="AE55" s="7"/>
      <c r="AF55" s="7"/>
      <c r="AG55" s="7"/>
      <c r="AH55" s="7"/>
    </row>
    <row r="56" spans="1:34" ht="5.25" customHeight="1">
      <c r="A56" s="196"/>
      <c r="B56" s="5"/>
      <c r="C56" s="5" t="s">
        <v>51</v>
      </c>
      <c r="D56" s="485"/>
      <c r="E56" s="1054"/>
      <c r="F56" s="1054"/>
      <c r="G56" s="1054"/>
      <c r="H56" s="1054"/>
      <c r="I56" s="1054"/>
      <c r="J56" s="1054"/>
      <c r="K56" s="1055"/>
      <c r="L56" s="199"/>
      <c r="M56" s="1057"/>
      <c r="N56" s="1054"/>
      <c r="O56" s="1054"/>
      <c r="P56" s="1054"/>
      <c r="Q56" s="1054"/>
      <c r="R56" s="1054"/>
      <c r="S56" s="1054"/>
      <c r="T56" s="1055"/>
      <c r="U56" s="607"/>
      <c r="V56" s="1057"/>
      <c r="W56" s="1054"/>
      <c r="X56" s="1054"/>
      <c r="Y56" s="1054"/>
      <c r="Z56" s="1054"/>
      <c r="AA56" s="1047" t="s">
        <v>36</v>
      </c>
      <c r="AB56" s="1048"/>
      <c r="AC56" s="8"/>
      <c r="AD56" s="228"/>
      <c r="AE56" s="7"/>
      <c r="AF56" s="7"/>
      <c r="AG56" s="7"/>
      <c r="AH56" s="7"/>
    </row>
    <row r="57" spans="1:34" ht="10.5" customHeight="1">
      <c r="A57" s="196" t="s">
        <v>54</v>
      </c>
      <c r="B57" s="5" t="s">
        <v>65</v>
      </c>
      <c r="C57" s="5" t="s">
        <v>9</v>
      </c>
      <c r="D57" s="1236" t="str">
        <f>D21</f>
        <v>Бутерб. с сыром</v>
      </c>
      <c r="E57" s="1038" t="str">
        <f>E21</f>
        <v>и масл. сл. 10/ 5 \ 20</v>
      </c>
      <c r="F57" s="1041" t="str">
        <f>F21</f>
        <v>Макар, отварные</v>
      </c>
      <c r="G57" s="1038"/>
      <c r="H57" s="1041" t="str">
        <f>H21</f>
        <v>Какао с мол.</v>
      </c>
      <c r="I57" s="1038"/>
      <c r="J57" s="1070" t="str">
        <f>J23</f>
        <v>Батон витаминиз.</v>
      </c>
      <c r="K57" s="1070">
        <f>K23</f>
        <v>0</v>
      </c>
      <c r="L57" s="1070">
        <f>L23</f>
        <v>0</v>
      </c>
      <c r="M57" s="1041" t="str">
        <f>M21</f>
        <v>Суп картоф. с горохом</v>
      </c>
      <c r="N57" s="1041" t="str">
        <f>N21</f>
        <v>Мясо в суп</v>
      </c>
      <c r="O57" s="1038">
        <f>O21</f>
        <v>0</v>
      </c>
      <c r="P57" s="1041" t="str">
        <f>P21</f>
        <v>Печень, тушенн. в соуе</v>
      </c>
      <c r="Q57" s="1038"/>
      <c r="R57" s="1044" t="str">
        <f>R23</f>
        <v>Каша гречневая</v>
      </c>
      <c r="S57" s="1044" t="s">
        <v>63</v>
      </c>
      <c r="T57" s="1044" t="str">
        <f t="shared" ref="T57:Z57" si="1">T21</f>
        <v>Хлеб ржано-пшеничный</v>
      </c>
      <c r="U57" s="1044" t="str">
        <f>U21</f>
        <v>Икра кабачк. порц.</v>
      </c>
      <c r="V57" s="1044">
        <f t="shared" si="1"/>
        <v>0</v>
      </c>
      <c r="W57" s="1041" t="str">
        <f>W21</f>
        <v>Рыба, запеч. с овощами</v>
      </c>
      <c r="X57" s="1096"/>
      <c r="Y57" s="1044" t="str">
        <f t="shared" si="1"/>
        <v>Чай с сахаром</v>
      </c>
      <c r="Z57" s="1044" t="str">
        <f t="shared" si="1"/>
        <v>Хлеб йодирован. пшен.</v>
      </c>
      <c r="AA57" s="24"/>
      <c r="AB57" s="23"/>
      <c r="AC57" s="7"/>
      <c r="AD57" s="228"/>
      <c r="AE57" s="7"/>
      <c r="AF57" s="7"/>
      <c r="AG57" s="7"/>
      <c r="AH57" s="7"/>
    </row>
    <row r="58" spans="1:34" ht="10.5" customHeight="1">
      <c r="A58" s="196"/>
      <c r="B58" s="5"/>
      <c r="C58" s="5" t="s">
        <v>10</v>
      </c>
      <c r="D58" s="1237"/>
      <c r="E58" s="1039"/>
      <c r="F58" s="1042"/>
      <c r="G58" s="1039"/>
      <c r="H58" s="1042"/>
      <c r="I58" s="1039"/>
      <c r="J58" s="1071"/>
      <c r="K58" s="1071"/>
      <c r="L58" s="1071"/>
      <c r="M58" s="1042"/>
      <c r="N58" s="1042"/>
      <c r="O58" s="1039"/>
      <c r="P58" s="1042"/>
      <c r="Q58" s="1039"/>
      <c r="R58" s="1130"/>
      <c r="S58" s="1045"/>
      <c r="T58" s="1045"/>
      <c r="U58" s="1045"/>
      <c r="V58" s="1045"/>
      <c r="W58" s="1097"/>
      <c r="X58" s="1098"/>
      <c r="Y58" s="1045"/>
      <c r="Z58" s="1045"/>
      <c r="AA58" s="19" t="s">
        <v>6</v>
      </c>
      <c r="AB58" s="195" t="s">
        <v>4</v>
      </c>
      <c r="AC58" s="7"/>
      <c r="AD58" s="228"/>
      <c r="AE58" s="7"/>
      <c r="AF58" s="7"/>
      <c r="AG58" s="7"/>
      <c r="AH58" s="7"/>
    </row>
    <row r="59" spans="1:34" ht="10.5" customHeight="1">
      <c r="A59" s="202"/>
      <c r="B59" s="4"/>
      <c r="C59" s="4"/>
      <c r="D59" s="1238"/>
      <c r="E59" s="1040"/>
      <c r="F59" s="1043"/>
      <c r="G59" s="1040"/>
      <c r="H59" s="1043"/>
      <c r="I59" s="1040"/>
      <c r="J59" s="1072"/>
      <c r="K59" s="1072"/>
      <c r="L59" s="1072"/>
      <c r="M59" s="1043"/>
      <c r="N59" s="1043"/>
      <c r="O59" s="1040"/>
      <c r="P59" s="1043"/>
      <c r="Q59" s="1040"/>
      <c r="R59" s="1217"/>
      <c r="S59" s="1046"/>
      <c r="T59" s="1046"/>
      <c r="U59" s="1046"/>
      <c r="V59" s="1046"/>
      <c r="W59" s="1099"/>
      <c r="X59" s="1100"/>
      <c r="Y59" s="1046"/>
      <c r="Z59" s="1046"/>
      <c r="AA59" s="4" t="s">
        <v>7</v>
      </c>
      <c r="AB59" s="201" t="s">
        <v>5</v>
      </c>
      <c r="AC59" s="7"/>
      <c r="AD59" s="236"/>
      <c r="AE59" s="7"/>
      <c r="AF59" s="7"/>
      <c r="AG59" s="7"/>
      <c r="AH59" s="7"/>
    </row>
    <row r="60" spans="1:34" ht="11.25" customHeight="1" thickBot="1">
      <c r="A60" s="64">
        <v>1</v>
      </c>
      <c r="B60" s="34">
        <v>2</v>
      </c>
      <c r="C60" s="72">
        <v>3</v>
      </c>
      <c r="D60" s="486"/>
      <c r="E60" s="80">
        <v>4</v>
      </c>
      <c r="F60" s="86">
        <v>5</v>
      </c>
      <c r="G60" s="76">
        <v>6</v>
      </c>
      <c r="H60" s="87">
        <v>7</v>
      </c>
      <c r="I60" s="80">
        <v>8</v>
      </c>
      <c r="J60" s="81">
        <v>9</v>
      </c>
      <c r="K60" s="96">
        <v>10</v>
      </c>
      <c r="L60" s="96">
        <v>11</v>
      </c>
      <c r="M60" s="81">
        <v>12</v>
      </c>
      <c r="N60" s="82">
        <v>13</v>
      </c>
      <c r="O60" s="93">
        <v>14</v>
      </c>
      <c r="P60" s="97">
        <v>15</v>
      </c>
      <c r="Q60" s="93">
        <v>16</v>
      </c>
      <c r="R60" s="80"/>
      <c r="S60" s="96">
        <v>17</v>
      </c>
      <c r="T60" s="98">
        <v>18</v>
      </c>
      <c r="U60" s="96"/>
      <c r="V60" s="80">
        <v>19</v>
      </c>
      <c r="W60" s="80"/>
      <c r="X60" s="96">
        <v>20</v>
      </c>
      <c r="Y60" s="81">
        <v>21</v>
      </c>
      <c r="Z60" s="96">
        <v>22</v>
      </c>
      <c r="AA60" s="35">
        <v>30</v>
      </c>
      <c r="AB60" s="36">
        <v>31</v>
      </c>
      <c r="AC60" s="7"/>
      <c r="AD60" s="237"/>
      <c r="AE60" s="7"/>
      <c r="AF60" s="7"/>
      <c r="AG60" s="7"/>
      <c r="AH60" s="7"/>
    </row>
    <row r="61" spans="1:34" ht="14.25" customHeight="1" thickTop="1">
      <c r="A61" s="135"/>
      <c r="B61" s="13"/>
      <c r="C61" s="77" t="s">
        <v>72</v>
      </c>
      <c r="D61" s="297"/>
      <c r="E61" s="277"/>
      <c r="F61" s="109"/>
      <c r="G61" s="94"/>
      <c r="H61" s="109"/>
      <c r="I61" s="94"/>
      <c r="J61" s="667"/>
      <c r="K61" s="277"/>
      <c r="L61" s="94"/>
      <c r="M61" s="130">
        <v>61.6</v>
      </c>
      <c r="N61" s="411"/>
      <c r="O61" s="410"/>
      <c r="P61" s="109"/>
      <c r="Q61" s="94"/>
      <c r="R61" s="94"/>
      <c r="S61" s="94"/>
      <c r="T61" s="94"/>
      <c r="U61" s="94"/>
      <c r="V61" s="130"/>
      <c r="W61" s="113">
        <f>61.6/120*W26</f>
        <v>61.599999999999994</v>
      </c>
      <c r="X61" s="113">
        <f>W61/W26*X26</f>
        <v>61.599999999999994</v>
      </c>
      <c r="Y61" s="94"/>
      <c r="Z61" s="94"/>
      <c r="AA61" s="117"/>
      <c r="AB61" s="116"/>
      <c r="AC61" s="7"/>
      <c r="AD61" s="232"/>
      <c r="AE61" s="7"/>
      <c r="AF61" s="7"/>
      <c r="AG61" s="7"/>
    </row>
    <row r="62" spans="1:34" ht="18" customHeight="1" thickBot="1">
      <c r="A62" s="346" t="s">
        <v>26</v>
      </c>
      <c r="B62" s="347">
        <v>28</v>
      </c>
      <c r="C62" s="348" t="s">
        <v>73</v>
      </c>
      <c r="D62" s="387"/>
      <c r="E62" s="353"/>
      <c r="F62" s="338"/>
      <c r="G62" s="337"/>
      <c r="H62" s="338"/>
      <c r="I62" s="337"/>
      <c r="J62" s="668"/>
      <c r="K62" s="353"/>
      <c r="L62" s="337"/>
      <c r="M62" s="339">
        <f>M61*B25/1000</f>
        <v>6.16</v>
      </c>
      <c r="N62" s="361"/>
      <c r="O62" s="350"/>
      <c r="P62" s="338"/>
      <c r="Q62" s="337"/>
      <c r="R62" s="337"/>
      <c r="S62" s="337"/>
      <c r="T62" s="337"/>
      <c r="U62" s="353"/>
      <c r="V62" s="350"/>
      <c r="W62" s="378">
        <f>W61*F25/1000</f>
        <v>6.1599999999999993</v>
      </c>
      <c r="X62" s="341">
        <f>W62</f>
        <v>6.1599999999999993</v>
      </c>
      <c r="Y62" s="337"/>
      <c r="Z62" s="337"/>
      <c r="AA62" s="343">
        <f>ROUND(E62+G62+I62+K62+L62+M62+N62+O62+Q62+S62+T62+U62+V62+X62+Y62+Z62,2)</f>
        <v>12.32</v>
      </c>
      <c r="AB62" s="344">
        <f>AA62*B62</f>
        <v>344.96000000000004</v>
      </c>
      <c r="AC62" s="7"/>
      <c r="AD62" s="229">
        <f t="shared" ref="AD62:AD94" si="2">AA62+AA161</f>
        <v>22.990000000000002</v>
      </c>
      <c r="AE62" s="7" t="str">
        <f>A62</f>
        <v>Картофель</v>
      </c>
      <c r="AF62" s="7"/>
      <c r="AG62" s="7"/>
    </row>
    <row r="63" spans="1:34" ht="14.25" customHeight="1" thickTop="1">
      <c r="A63" s="133"/>
      <c r="B63" s="122"/>
      <c r="C63" s="77" t="s">
        <v>72</v>
      </c>
      <c r="D63" s="78"/>
      <c r="E63" s="268"/>
      <c r="F63" s="112"/>
      <c r="G63" s="106"/>
      <c r="H63" s="112"/>
      <c r="I63" s="106"/>
      <c r="J63" s="669"/>
      <c r="K63" s="268"/>
      <c r="L63" s="106"/>
      <c r="M63" s="106"/>
      <c r="N63" s="274"/>
      <c r="O63" s="499"/>
      <c r="P63" s="112"/>
      <c r="Q63" s="113"/>
      <c r="R63" s="113"/>
      <c r="S63" s="106"/>
      <c r="T63" s="106"/>
      <c r="U63" s="106"/>
      <c r="V63" s="127"/>
      <c r="W63" s="113">
        <f>28/120*W26</f>
        <v>28</v>
      </c>
      <c r="X63" s="113">
        <f>W63/W26*X26</f>
        <v>28</v>
      </c>
      <c r="Y63" s="106"/>
      <c r="Z63" s="106"/>
      <c r="AA63" s="213"/>
      <c r="AB63" s="123"/>
      <c r="AC63" s="7"/>
      <c r="AD63" s="123"/>
      <c r="AE63" s="7"/>
      <c r="AF63" s="7"/>
      <c r="AG63" s="7"/>
    </row>
    <row r="64" spans="1:34" ht="18" customHeight="1" thickBot="1">
      <c r="A64" s="346" t="s">
        <v>93</v>
      </c>
      <c r="B64" s="347">
        <v>30</v>
      </c>
      <c r="C64" s="348" t="s">
        <v>73</v>
      </c>
      <c r="D64" s="387"/>
      <c r="E64" s="353"/>
      <c r="F64" s="338"/>
      <c r="G64" s="337"/>
      <c r="H64" s="338"/>
      <c r="I64" s="337"/>
      <c r="J64" s="668"/>
      <c r="K64" s="353"/>
      <c r="L64" s="337"/>
      <c r="M64" s="337"/>
      <c r="N64" s="360"/>
      <c r="O64" s="341"/>
      <c r="P64" s="349"/>
      <c r="Q64" s="340"/>
      <c r="R64" s="340"/>
      <c r="S64" s="337"/>
      <c r="T64" s="337"/>
      <c r="U64" s="353"/>
      <c r="V64" s="341">
        <f>V63*V25/1000</f>
        <v>0</v>
      </c>
      <c r="W64" s="378">
        <f>W63*F25/1000</f>
        <v>2.8</v>
      </c>
      <c r="X64" s="341">
        <f>W64</f>
        <v>2.8</v>
      </c>
      <c r="Y64" s="337"/>
      <c r="Z64" s="337"/>
      <c r="AA64" s="343">
        <f>ROUND(E64+G64+I64+K64+L64+M64+N64+O64+Q64+S64+T64+U64+V64+X64+Y64+Z64,2)</f>
        <v>2.8</v>
      </c>
      <c r="AB64" s="344">
        <f>AA64*B64</f>
        <v>84</v>
      </c>
      <c r="AC64" s="7"/>
      <c r="AD64" s="229">
        <f t="shared" si="2"/>
        <v>5.13</v>
      </c>
      <c r="AE64" s="7" t="str">
        <f>A64</f>
        <v>Капуста св. б/к</v>
      </c>
      <c r="AF64" s="7"/>
      <c r="AG64" s="7"/>
    </row>
    <row r="65" spans="1:34" ht="14.25" customHeight="1" thickTop="1">
      <c r="A65" s="133"/>
      <c r="B65" s="122"/>
      <c r="C65" s="77" t="s">
        <v>72</v>
      </c>
      <c r="D65" s="78"/>
      <c r="E65" s="268"/>
      <c r="F65" s="112"/>
      <c r="G65" s="106"/>
      <c r="H65" s="112"/>
      <c r="I65" s="106"/>
      <c r="J65" s="669"/>
      <c r="K65" s="268"/>
      <c r="L65" s="130"/>
      <c r="M65" s="130">
        <v>9.6</v>
      </c>
      <c r="N65" s="108"/>
      <c r="O65" s="129"/>
      <c r="P65" s="108">
        <f>9.6/80*P26</f>
        <v>9.6</v>
      </c>
      <c r="Q65" s="129">
        <f>P65/P26*Q26</f>
        <v>9.6</v>
      </c>
      <c r="R65" s="129"/>
      <c r="S65" s="106"/>
      <c r="T65" s="106"/>
      <c r="U65" s="106"/>
      <c r="V65" s="250"/>
      <c r="W65" s="113">
        <f>14.4/120*W26</f>
        <v>14.4</v>
      </c>
      <c r="X65" s="113">
        <f>W65/W26*X26</f>
        <v>14.4</v>
      </c>
      <c r="Y65" s="106"/>
      <c r="Z65" s="106"/>
      <c r="AA65" s="214"/>
      <c r="AB65" s="124"/>
      <c r="AC65" s="7"/>
      <c r="AD65" s="123"/>
      <c r="AE65" s="7"/>
      <c r="AF65" s="7"/>
      <c r="AG65" s="7"/>
      <c r="AH65" s="7"/>
    </row>
    <row r="66" spans="1:34" ht="18" customHeight="1" thickBot="1">
      <c r="A66" s="346" t="s">
        <v>27</v>
      </c>
      <c r="B66" s="347">
        <v>37</v>
      </c>
      <c r="C66" s="348" t="s">
        <v>73</v>
      </c>
      <c r="D66" s="387"/>
      <c r="E66" s="353"/>
      <c r="F66" s="338"/>
      <c r="G66" s="337"/>
      <c r="H66" s="338"/>
      <c r="I66" s="337"/>
      <c r="J66" s="668"/>
      <c r="K66" s="353"/>
      <c r="L66" s="339"/>
      <c r="M66" s="339">
        <f>M65*B25/1000</f>
        <v>0.96</v>
      </c>
      <c r="N66" s="349"/>
      <c r="O66" s="341"/>
      <c r="P66" s="349">
        <f>P65*P25/1000</f>
        <v>0.96</v>
      </c>
      <c r="Q66" s="339">
        <f>P66</f>
        <v>0.96</v>
      </c>
      <c r="R66" s="340"/>
      <c r="S66" s="337"/>
      <c r="T66" s="337"/>
      <c r="U66" s="353"/>
      <c r="V66" s="350"/>
      <c r="W66" s="378">
        <f>W65*F25/1000</f>
        <v>1.44</v>
      </c>
      <c r="X66" s="341">
        <f>W66</f>
        <v>1.44</v>
      </c>
      <c r="Y66" s="337"/>
      <c r="Z66" s="337"/>
      <c r="AA66" s="343">
        <f>ROUND(E66+G66+I66+K66+L66+M66+O66+Q66+S66+T66+U66+V66+X66+Y66+Z66,2)</f>
        <v>3.36</v>
      </c>
      <c r="AB66" s="368">
        <f>AA66*B66</f>
        <v>124.32</v>
      </c>
      <c r="AC66" s="7"/>
      <c r="AD66" s="229">
        <f t="shared" si="2"/>
        <v>6.14</v>
      </c>
      <c r="AE66" s="7" t="str">
        <f>A66</f>
        <v>Лук</v>
      </c>
      <c r="AF66" s="7"/>
      <c r="AG66" s="7"/>
      <c r="AH66" s="7"/>
    </row>
    <row r="67" spans="1:34" ht="15" customHeight="1" thickTop="1">
      <c r="A67" s="133"/>
      <c r="B67" s="122"/>
      <c r="C67" s="77" t="s">
        <v>72</v>
      </c>
      <c r="D67" s="78"/>
      <c r="E67" s="268"/>
      <c r="F67" s="112"/>
      <c r="G67" s="106"/>
      <c r="H67" s="112"/>
      <c r="I67" s="106"/>
      <c r="J67" s="669"/>
      <c r="K67" s="268"/>
      <c r="L67" s="127"/>
      <c r="M67" s="130">
        <v>13.3</v>
      </c>
      <c r="N67" s="274"/>
      <c r="O67" s="499"/>
      <c r="P67" s="177"/>
      <c r="Q67" s="129"/>
      <c r="R67" s="129"/>
      <c r="S67" s="106"/>
      <c r="T67" s="106"/>
      <c r="U67" s="106"/>
      <c r="V67" s="250"/>
      <c r="W67" s="113">
        <f>20/120*W26</f>
        <v>20</v>
      </c>
      <c r="X67" s="113">
        <f>W67/W26*X26</f>
        <v>20</v>
      </c>
      <c r="Y67" s="106"/>
      <c r="Z67" s="106"/>
      <c r="AA67" s="214"/>
      <c r="AB67" s="123"/>
      <c r="AC67" s="7"/>
      <c r="AD67" s="123"/>
      <c r="AE67" s="7"/>
      <c r="AF67" s="7"/>
      <c r="AG67" s="7"/>
      <c r="AH67" s="7"/>
    </row>
    <row r="68" spans="1:34" ht="18" customHeight="1" thickBot="1">
      <c r="A68" s="346" t="s">
        <v>28</v>
      </c>
      <c r="B68" s="347">
        <v>38</v>
      </c>
      <c r="C68" s="348" t="s">
        <v>73</v>
      </c>
      <c r="D68" s="385"/>
      <c r="E68" s="353"/>
      <c r="F68" s="338"/>
      <c r="G68" s="337"/>
      <c r="H68" s="338"/>
      <c r="I68" s="337"/>
      <c r="J68" s="668"/>
      <c r="K68" s="353"/>
      <c r="L68" s="339"/>
      <c r="M68" s="339">
        <f>M67*B25/1000</f>
        <v>1.33</v>
      </c>
      <c r="N68" s="360"/>
      <c r="O68" s="341"/>
      <c r="P68" s="349"/>
      <c r="Q68" s="340"/>
      <c r="R68" s="340"/>
      <c r="S68" s="337"/>
      <c r="T68" s="337"/>
      <c r="U68" s="353"/>
      <c r="V68" s="350"/>
      <c r="W68" s="378">
        <f>W67*F25/1000</f>
        <v>2</v>
      </c>
      <c r="X68" s="341">
        <f>W68</f>
        <v>2</v>
      </c>
      <c r="Y68" s="337"/>
      <c r="Z68" s="337"/>
      <c r="AA68" s="343">
        <f>ROUND(E68+G68+I68+K68+L68+M68+N68+O68+Q68+S68+T68+U68+V68+X68+Y68+Z68,2)</f>
        <v>3.33</v>
      </c>
      <c r="AB68" s="344">
        <f>AA68*B68</f>
        <v>126.54</v>
      </c>
      <c r="AC68" s="7"/>
      <c r="AD68" s="229">
        <f t="shared" si="2"/>
        <v>6.1899999999999995</v>
      </c>
      <c r="AE68" s="7" t="str">
        <f>A68</f>
        <v>Морковь</v>
      </c>
      <c r="AF68" s="7"/>
      <c r="AG68" s="7"/>
      <c r="AH68" s="7"/>
    </row>
    <row r="69" spans="1:34" ht="12" customHeight="1" thickTop="1">
      <c r="A69" s="133"/>
      <c r="B69" s="122"/>
      <c r="C69" s="77" t="s">
        <v>72</v>
      </c>
      <c r="D69" s="502"/>
      <c r="E69" s="129"/>
      <c r="F69" s="112"/>
      <c r="G69" s="106"/>
      <c r="H69" s="112"/>
      <c r="I69" s="106"/>
      <c r="J69" s="563"/>
      <c r="K69" s="268"/>
      <c r="L69" s="184"/>
      <c r="M69" s="130">
        <v>16.2</v>
      </c>
      <c r="N69" s="405"/>
      <c r="O69" s="268"/>
      <c r="P69" s="177"/>
      <c r="Q69" s="251"/>
      <c r="R69" s="251"/>
      <c r="S69" s="106"/>
      <c r="T69" s="106"/>
      <c r="U69" s="127"/>
      <c r="V69" s="128"/>
      <c r="W69" s="128"/>
      <c r="X69" s="106"/>
      <c r="Y69" s="106"/>
      <c r="Z69" s="106"/>
      <c r="AA69" s="214"/>
      <c r="AB69" s="123"/>
      <c r="AC69" s="7"/>
      <c r="AD69" s="123"/>
      <c r="AE69" s="7"/>
      <c r="AF69" s="7"/>
      <c r="AG69" s="7"/>
      <c r="AH69" s="7"/>
    </row>
    <row r="70" spans="1:34" ht="18" customHeight="1" thickBot="1">
      <c r="A70" s="346" t="s">
        <v>119</v>
      </c>
      <c r="B70" s="347">
        <v>65</v>
      </c>
      <c r="C70" s="348" t="s">
        <v>73</v>
      </c>
      <c r="D70" s="363"/>
      <c r="E70" s="350"/>
      <c r="F70" s="338"/>
      <c r="G70" s="337"/>
      <c r="H70" s="338"/>
      <c r="I70" s="337"/>
      <c r="J70" s="668"/>
      <c r="K70" s="353"/>
      <c r="L70" s="341"/>
      <c r="M70" s="339">
        <f>M69*B25/1000</f>
        <v>1.62</v>
      </c>
      <c r="N70" s="360"/>
      <c r="O70" s="353"/>
      <c r="P70" s="349"/>
      <c r="Q70" s="358"/>
      <c r="R70" s="358"/>
      <c r="S70" s="337"/>
      <c r="T70" s="337"/>
      <c r="U70" s="339"/>
      <c r="V70" s="340"/>
      <c r="W70" s="340"/>
      <c r="X70" s="337"/>
      <c r="Y70" s="337"/>
      <c r="Z70" s="337"/>
      <c r="AA70" s="343">
        <f>ROUND(E70+G70+I70+K70+L70+M70+N70+O70+Q70+S70+T70+U70+V70+X70+Y70+Z70,2)</f>
        <v>1.62</v>
      </c>
      <c r="AB70" s="344">
        <f>AA70*B70</f>
        <v>105.30000000000001</v>
      </c>
      <c r="AC70" s="7"/>
      <c r="AD70" s="229">
        <f t="shared" si="2"/>
        <v>3.08</v>
      </c>
      <c r="AE70" s="7" t="str">
        <f>A70</f>
        <v>Горох</v>
      </c>
      <c r="AF70" s="7"/>
      <c r="AG70" s="7"/>
      <c r="AH70" s="7"/>
    </row>
    <row r="71" spans="1:34" ht="15" customHeight="1" thickTop="1">
      <c r="A71" s="133"/>
      <c r="B71" s="122"/>
      <c r="C71" s="77" t="s">
        <v>72</v>
      </c>
      <c r="D71" s="489">
        <v>20</v>
      </c>
      <c r="E71" s="184">
        <f>D71/D26*E26</f>
        <v>20</v>
      </c>
      <c r="F71" s="112"/>
      <c r="G71" s="106"/>
      <c r="H71" s="112"/>
      <c r="I71" s="106"/>
      <c r="J71" s="457">
        <f>J72/B25*1000</f>
        <v>20</v>
      </c>
      <c r="K71" s="184"/>
      <c r="L71" s="106"/>
      <c r="M71" s="106"/>
      <c r="N71" s="270"/>
      <c r="O71" s="268"/>
      <c r="P71" s="177"/>
      <c r="Q71" s="252"/>
      <c r="R71" s="252"/>
      <c r="S71" s="106"/>
      <c r="T71" s="106"/>
      <c r="U71" s="106"/>
      <c r="V71" s="251"/>
      <c r="W71" s="113"/>
      <c r="X71" s="129"/>
      <c r="Y71" s="106"/>
      <c r="Z71" s="106"/>
      <c r="AA71" s="214"/>
      <c r="AB71" s="123"/>
      <c r="AC71" s="7"/>
      <c r="AD71" s="123"/>
      <c r="AE71" s="7"/>
      <c r="AF71" s="7"/>
      <c r="AG71" s="7"/>
      <c r="AH71" s="7"/>
    </row>
    <row r="72" spans="1:34" ht="18" customHeight="1" thickBot="1">
      <c r="A72" s="346" t="s">
        <v>62</v>
      </c>
      <c r="B72" s="347">
        <v>81.099999999999994</v>
      </c>
      <c r="C72" s="348" t="s">
        <v>73</v>
      </c>
      <c r="D72" s="490">
        <f>D71*F25/1000</f>
        <v>2</v>
      </c>
      <c r="E72" s="341">
        <f>D72</f>
        <v>2</v>
      </c>
      <c r="F72" s="338"/>
      <c r="G72" s="337"/>
      <c r="H72" s="338"/>
      <c r="I72" s="337"/>
      <c r="J72" s="589">
        <v>2</v>
      </c>
      <c r="K72" s="354"/>
      <c r="L72" s="337"/>
      <c r="M72" s="337"/>
      <c r="N72" s="352"/>
      <c r="O72" s="353"/>
      <c r="P72" s="349"/>
      <c r="Q72" s="340"/>
      <c r="R72" s="340"/>
      <c r="S72" s="337"/>
      <c r="T72" s="337"/>
      <c r="U72" s="337"/>
      <c r="V72" s="358"/>
      <c r="W72" s="378"/>
      <c r="X72" s="341"/>
      <c r="Y72" s="337"/>
      <c r="Z72" s="337"/>
      <c r="AA72" s="343">
        <f>ROUND(E72+G72+I72+J72+K72+L72+M72+N72+O72+Q72+S72+T72+U72+V72+X72+Y72+Z72,2)</f>
        <v>4</v>
      </c>
      <c r="AB72" s="344">
        <f>AA72*B72</f>
        <v>324.39999999999998</v>
      </c>
      <c r="AC72" s="7"/>
      <c r="AD72" s="229">
        <f t="shared" si="2"/>
        <v>7</v>
      </c>
      <c r="AE72" s="7" t="str">
        <f>A72</f>
        <v>Батон витам.</v>
      </c>
      <c r="AF72" s="7"/>
      <c r="AG72" s="7"/>
      <c r="AH72" s="7"/>
    </row>
    <row r="73" spans="1:34" ht="16.5" customHeight="1" thickTop="1">
      <c r="A73" s="133"/>
      <c r="B73" s="122"/>
      <c r="C73" s="77" t="s">
        <v>72</v>
      </c>
      <c r="D73" s="287"/>
      <c r="E73" s="268"/>
      <c r="F73" s="112"/>
      <c r="G73" s="106"/>
      <c r="H73" s="112"/>
      <c r="I73" s="106"/>
      <c r="J73" s="669"/>
      <c r="K73" s="268"/>
      <c r="L73" s="106"/>
      <c r="M73" s="106"/>
      <c r="N73" s="270"/>
      <c r="O73" s="268"/>
      <c r="P73" s="177"/>
      <c r="Q73" s="251"/>
      <c r="R73" s="251"/>
      <c r="S73" s="106"/>
      <c r="T73" s="128">
        <f>T74/T25*1000</f>
        <v>40</v>
      </c>
      <c r="U73" s="128"/>
      <c r="V73" s="251"/>
      <c r="W73" s="251"/>
      <c r="X73" s="106"/>
      <c r="Y73" s="106"/>
      <c r="Z73" s="106"/>
      <c r="AA73" s="214"/>
      <c r="AB73" s="123"/>
      <c r="AC73" s="7"/>
      <c r="AD73" s="123"/>
      <c r="AE73" s="7"/>
      <c r="AF73" s="7"/>
      <c r="AG73" s="7"/>
      <c r="AH73" s="7"/>
    </row>
    <row r="74" spans="1:34" ht="18" customHeight="1" thickBot="1">
      <c r="A74" s="346" t="s">
        <v>82</v>
      </c>
      <c r="B74" s="347">
        <v>55</v>
      </c>
      <c r="C74" s="348" t="s">
        <v>73</v>
      </c>
      <c r="D74" s="385"/>
      <c r="E74" s="353"/>
      <c r="F74" s="338"/>
      <c r="G74" s="337"/>
      <c r="H74" s="338"/>
      <c r="I74" s="337"/>
      <c r="J74" s="668"/>
      <c r="K74" s="353"/>
      <c r="L74" s="337"/>
      <c r="M74" s="337"/>
      <c r="N74" s="352"/>
      <c r="O74" s="353"/>
      <c r="P74" s="349"/>
      <c r="Q74" s="358"/>
      <c r="R74" s="358"/>
      <c r="S74" s="337"/>
      <c r="T74" s="342">
        <v>4</v>
      </c>
      <c r="U74" s="342"/>
      <c r="V74" s="358"/>
      <c r="W74" s="358"/>
      <c r="X74" s="337"/>
      <c r="Y74" s="337"/>
      <c r="Z74" s="337"/>
      <c r="AA74" s="343">
        <f>ROUND(E74+G74+I74+K74+L74+M74+N74+O74+Q74+S74+T74+U74+V74+X74+Y74+Z74,2)</f>
        <v>4</v>
      </c>
      <c r="AB74" s="344">
        <f>AA74*B74</f>
        <v>220</v>
      </c>
      <c r="AC74" s="7"/>
      <c r="AD74" s="229">
        <f t="shared" si="2"/>
        <v>7</v>
      </c>
      <c r="AE74" s="7" t="str">
        <f>A74</f>
        <v>Хлеб рж-пшен.</v>
      </c>
      <c r="AF74" s="7"/>
      <c r="AG74" s="7"/>
      <c r="AH74" s="7"/>
    </row>
    <row r="75" spans="1:34" ht="16.5" customHeight="1" thickTop="1">
      <c r="A75" s="133"/>
      <c r="B75" s="122"/>
      <c r="C75" s="77" t="s">
        <v>72</v>
      </c>
      <c r="D75" s="287"/>
      <c r="E75" s="268"/>
      <c r="F75" s="112"/>
      <c r="G75" s="106"/>
      <c r="H75" s="112"/>
      <c r="I75" s="106"/>
      <c r="J75" s="669"/>
      <c r="K75" s="268"/>
      <c r="L75" s="106"/>
      <c r="M75" s="106"/>
      <c r="N75" s="274"/>
      <c r="O75" s="268"/>
      <c r="P75" s="177"/>
      <c r="Q75" s="251"/>
      <c r="R75" s="251"/>
      <c r="S75" s="106"/>
      <c r="T75" s="106"/>
      <c r="U75" s="106"/>
      <c r="V75" s="251"/>
      <c r="W75" s="251"/>
      <c r="X75" s="106"/>
      <c r="Y75" s="106"/>
      <c r="Z75" s="128">
        <f>Z76/Z25*1000</f>
        <v>20</v>
      </c>
      <c r="AA75" s="214"/>
      <c r="AB75" s="123"/>
      <c r="AC75" s="7"/>
      <c r="AD75" s="123"/>
      <c r="AE75" s="7"/>
      <c r="AF75" s="7"/>
      <c r="AG75" s="7"/>
      <c r="AH75" s="7"/>
    </row>
    <row r="76" spans="1:34" ht="18" customHeight="1" thickBot="1">
      <c r="A76" s="346" t="s">
        <v>84</v>
      </c>
      <c r="B76" s="347">
        <v>61.3</v>
      </c>
      <c r="C76" s="348" t="s">
        <v>73</v>
      </c>
      <c r="D76" s="385"/>
      <c r="E76" s="353"/>
      <c r="F76" s="338"/>
      <c r="G76" s="337"/>
      <c r="H76" s="338"/>
      <c r="I76" s="337"/>
      <c r="J76" s="668"/>
      <c r="K76" s="353"/>
      <c r="L76" s="337"/>
      <c r="M76" s="337"/>
      <c r="N76" s="360"/>
      <c r="O76" s="353"/>
      <c r="P76" s="349"/>
      <c r="Q76" s="358"/>
      <c r="R76" s="358"/>
      <c r="S76" s="337"/>
      <c r="T76" s="337"/>
      <c r="U76" s="337"/>
      <c r="V76" s="358"/>
      <c r="W76" s="358"/>
      <c r="X76" s="337"/>
      <c r="Y76" s="337"/>
      <c r="Z76" s="342">
        <v>2</v>
      </c>
      <c r="AA76" s="343">
        <f>ROUND(E76+G76+I76+K76+L76+M76+N76+O76+Q76+S76+T76+U76+V76+X76+Y76+Z76,2)</f>
        <v>2</v>
      </c>
      <c r="AB76" s="344">
        <f>AA76*B76</f>
        <v>122.6</v>
      </c>
      <c r="AC76" s="7"/>
      <c r="AD76" s="229">
        <f t="shared" si="2"/>
        <v>3</v>
      </c>
      <c r="AE76" s="7" t="str">
        <f>A76</f>
        <v xml:space="preserve">Хлеб  йод. пш. </v>
      </c>
      <c r="AF76" s="7"/>
      <c r="AG76" s="7"/>
      <c r="AH76" s="7"/>
    </row>
    <row r="77" spans="1:34" ht="16.5" customHeight="1" thickTop="1">
      <c r="A77" s="133"/>
      <c r="B77" s="122"/>
      <c r="C77" s="77" t="s">
        <v>72</v>
      </c>
      <c r="D77" s="287"/>
      <c r="E77" s="268"/>
      <c r="F77" s="112"/>
      <c r="G77" s="106"/>
      <c r="H77" s="112"/>
      <c r="I77" s="106"/>
      <c r="J77" s="669"/>
      <c r="K77" s="268"/>
      <c r="L77" s="106"/>
      <c r="M77" s="106"/>
      <c r="N77" s="270"/>
      <c r="O77" s="268"/>
      <c r="P77" s="177"/>
      <c r="Q77" s="251"/>
      <c r="R77" s="251"/>
      <c r="S77" s="106"/>
      <c r="T77" s="106"/>
      <c r="U77" s="106"/>
      <c r="V77" s="130"/>
      <c r="W77" s="251"/>
      <c r="X77" s="106"/>
      <c r="Y77" s="127">
        <v>0.5</v>
      </c>
      <c r="Z77" s="106"/>
      <c r="AA77" s="213"/>
      <c r="AB77" s="123"/>
      <c r="AC77" s="7"/>
      <c r="AD77" s="123"/>
      <c r="AE77" s="7"/>
      <c r="AF77" s="7"/>
      <c r="AG77" s="7"/>
      <c r="AH77" s="7"/>
    </row>
    <row r="78" spans="1:34" ht="18" customHeight="1" thickBot="1">
      <c r="A78" s="346" t="s">
        <v>29</v>
      </c>
      <c r="B78" s="347">
        <v>500</v>
      </c>
      <c r="C78" s="348" t="s">
        <v>73</v>
      </c>
      <c r="D78" s="385"/>
      <c r="E78" s="353"/>
      <c r="F78" s="338"/>
      <c r="G78" s="337"/>
      <c r="H78" s="338"/>
      <c r="I78" s="337"/>
      <c r="J78" s="668"/>
      <c r="K78" s="353"/>
      <c r="L78" s="337"/>
      <c r="M78" s="337"/>
      <c r="N78" s="675"/>
      <c r="O78" s="353"/>
      <c r="P78" s="349"/>
      <c r="Q78" s="358"/>
      <c r="R78" s="358"/>
      <c r="S78" s="337"/>
      <c r="T78" s="337"/>
      <c r="U78" s="337"/>
      <c r="V78" s="350"/>
      <c r="W78" s="358"/>
      <c r="X78" s="337"/>
      <c r="Y78" s="357">
        <f>Y77*B25/1000</f>
        <v>0.05</v>
      </c>
      <c r="Z78" s="381"/>
      <c r="AA78" s="356">
        <f>ROUND(E78+G78+I78+K78+L78+M78+N78+O78+Q78+S78+T78+U78+V78+X78+Y78+Z78,3)</f>
        <v>0.05</v>
      </c>
      <c r="AB78" s="344">
        <f>AA78*B78</f>
        <v>25</v>
      </c>
      <c r="AC78" s="7"/>
      <c r="AD78" s="230">
        <f t="shared" si="2"/>
        <v>0.08</v>
      </c>
      <c r="AE78" s="7" t="str">
        <f>A78</f>
        <v>Чай</v>
      </c>
      <c r="AF78" s="7"/>
      <c r="AG78" s="7"/>
      <c r="AH78" s="7"/>
    </row>
    <row r="79" spans="1:34" ht="16.5" customHeight="1" thickTop="1">
      <c r="A79" s="133"/>
      <c r="B79" s="122"/>
      <c r="C79" s="77" t="s">
        <v>72</v>
      </c>
      <c r="D79" s="287"/>
      <c r="E79" s="268"/>
      <c r="F79" s="112"/>
      <c r="G79" s="106"/>
      <c r="H79" s="112">
        <v>2</v>
      </c>
      <c r="I79" s="128">
        <f>H79/H26*I26</f>
        <v>2</v>
      </c>
      <c r="J79" s="669"/>
      <c r="K79" s="268"/>
      <c r="L79" s="106"/>
      <c r="M79" s="106"/>
      <c r="N79" s="270"/>
      <c r="O79" s="268"/>
      <c r="P79" s="177"/>
      <c r="Q79" s="251"/>
      <c r="R79" s="251"/>
      <c r="S79" s="106"/>
      <c r="T79" s="106"/>
      <c r="U79" s="106"/>
      <c r="V79" s="251"/>
      <c r="W79" s="251"/>
      <c r="X79" s="106"/>
      <c r="Y79" s="106"/>
      <c r="Z79" s="106"/>
      <c r="AA79" s="214"/>
      <c r="AB79" s="123"/>
      <c r="AC79" s="7"/>
      <c r="AD79" s="123"/>
      <c r="AE79" s="7"/>
      <c r="AF79" s="7"/>
      <c r="AG79" s="7"/>
      <c r="AH79" s="7"/>
    </row>
    <row r="80" spans="1:34" ht="18" customHeight="1" thickBot="1">
      <c r="A80" s="346" t="s">
        <v>116</v>
      </c>
      <c r="B80" s="347">
        <v>450</v>
      </c>
      <c r="C80" s="348" t="s">
        <v>73</v>
      </c>
      <c r="D80" s="385"/>
      <c r="E80" s="353"/>
      <c r="F80" s="338"/>
      <c r="G80" s="337"/>
      <c r="H80" s="338">
        <f>H79*F25/1000</f>
        <v>0.2</v>
      </c>
      <c r="I80" s="357">
        <f>H80</f>
        <v>0.2</v>
      </c>
      <c r="J80" s="668"/>
      <c r="K80" s="353"/>
      <c r="L80" s="337"/>
      <c r="M80" s="337"/>
      <c r="N80" s="352"/>
      <c r="O80" s="353"/>
      <c r="P80" s="349"/>
      <c r="Q80" s="358"/>
      <c r="R80" s="358"/>
      <c r="S80" s="337"/>
      <c r="T80" s="337"/>
      <c r="U80" s="337"/>
      <c r="V80" s="358"/>
      <c r="W80" s="358"/>
      <c r="X80" s="358"/>
      <c r="Y80" s="357"/>
      <c r="Z80" s="337"/>
      <c r="AA80" s="356">
        <f>ROUND(E80+G80+I80+K80+L80+M80+N80+O80+Q80+S80+T80+U80+V80+X80+Y80+Z80,3)</f>
        <v>0.2</v>
      </c>
      <c r="AB80" s="344">
        <f>AA80*B80</f>
        <v>90</v>
      </c>
      <c r="AC80" s="7"/>
      <c r="AD80" s="230">
        <f t="shared" si="2"/>
        <v>0.4</v>
      </c>
      <c r="AE80" s="7" t="str">
        <f>A80</f>
        <v>Какао</v>
      </c>
      <c r="AF80" s="7"/>
      <c r="AG80" s="7"/>
      <c r="AH80" s="7"/>
    </row>
    <row r="81" spans="1:34" ht="18" customHeight="1" thickTop="1">
      <c r="A81" s="133"/>
      <c r="B81" s="122"/>
      <c r="C81" s="77" t="s">
        <v>72</v>
      </c>
      <c r="D81" s="108"/>
      <c r="E81" s="129"/>
      <c r="F81" s="112"/>
      <c r="G81" s="106"/>
      <c r="H81" s="108"/>
      <c r="I81" s="113"/>
      <c r="J81" s="669"/>
      <c r="K81" s="268"/>
      <c r="L81" s="114"/>
      <c r="M81" s="106"/>
      <c r="N81" s="270"/>
      <c r="O81" s="268"/>
      <c r="P81" s="177"/>
      <c r="Q81" s="251"/>
      <c r="R81" s="130">
        <v>32</v>
      </c>
      <c r="S81" s="106"/>
      <c r="T81" s="106"/>
      <c r="U81" s="106"/>
      <c r="V81" s="251"/>
      <c r="W81" s="251"/>
      <c r="X81" s="256"/>
      <c r="Y81" s="251"/>
      <c r="Z81" s="106"/>
      <c r="AA81" s="214"/>
      <c r="AB81" s="123"/>
      <c r="AC81" s="7"/>
      <c r="AD81" s="123"/>
      <c r="AE81" s="7"/>
      <c r="AF81" s="7"/>
      <c r="AG81" s="7"/>
      <c r="AH81" s="7"/>
    </row>
    <row r="82" spans="1:34" ht="18" customHeight="1" thickBot="1">
      <c r="A82" s="346" t="s">
        <v>187</v>
      </c>
      <c r="B82" s="347">
        <v>72.98</v>
      </c>
      <c r="C82" s="348" t="s">
        <v>73</v>
      </c>
      <c r="D82" s="349"/>
      <c r="E82" s="341"/>
      <c r="F82" s="338"/>
      <c r="G82" s="337"/>
      <c r="H82" s="349"/>
      <c r="I82" s="350"/>
      <c r="J82" s="668"/>
      <c r="K82" s="353"/>
      <c r="L82" s="342"/>
      <c r="M82" s="337"/>
      <c r="N82" s="352"/>
      <c r="O82" s="353"/>
      <c r="P82" s="349"/>
      <c r="Q82" s="358"/>
      <c r="R82" s="339">
        <f>R81*B25/1000</f>
        <v>3.2</v>
      </c>
      <c r="S82" s="337"/>
      <c r="T82" s="337"/>
      <c r="U82" s="337"/>
      <c r="V82" s="358"/>
      <c r="W82" s="358"/>
      <c r="X82" s="340"/>
      <c r="Y82" s="358"/>
      <c r="Z82" s="337"/>
      <c r="AA82" s="343">
        <f>ROUND(E82+G82+I82+K82+L82+M82+N82+O82+Q82+R82+S82+T82+U82+V82+X82+Y82+Z82,2)</f>
        <v>3.2</v>
      </c>
      <c r="AB82" s="344">
        <f>AA82*B82</f>
        <v>233.53600000000003</v>
      </c>
      <c r="AC82" s="7"/>
      <c r="AD82" s="229">
        <f t="shared" si="2"/>
        <v>5.9</v>
      </c>
      <c r="AE82" s="7" t="str">
        <f>A82</f>
        <v>Гречневая кр.</v>
      </c>
      <c r="AF82" s="7"/>
      <c r="AG82" s="7"/>
      <c r="AH82" s="7"/>
    </row>
    <row r="83" spans="1:34" ht="18" customHeight="1" thickTop="1">
      <c r="A83" s="133"/>
      <c r="B83" s="122"/>
      <c r="C83" s="77" t="s">
        <v>72</v>
      </c>
      <c r="D83" s="287"/>
      <c r="E83" s="268"/>
      <c r="F83" s="112"/>
      <c r="G83" s="106"/>
      <c r="H83" s="112"/>
      <c r="I83" s="106"/>
      <c r="J83" s="669"/>
      <c r="K83" s="268"/>
      <c r="L83" s="130"/>
      <c r="M83" s="130"/>
      <c r="N83" s="274"/>
      <c r="O83" s="272"/>
      <c r="P83" s="108">
        <f>1.6/80*P26</f>
        <v>1.6</v>
      </c>
      <c r="Q83" s="129">
        <f>P83/P26*Q26</f>
        <v>1.6</v>
      </c>
      <c r="R83" s="129"/>
      <c r="S83" s="106"/>
      <c r="T83" s="106"/>
      <c r="U83" s="106"/>
      <c r="V83" s="250"/>
      <c r="W83" s="250"/>
      <c r="X83" s="106"/>
      <c r="Y83" s="106"/>
      <c r="Z83" s="106"/>
      <c r="AA83" s="214"/>
      <c r="AB83" s="123"/>
      <c r="AC83" s="7"/>
      <c r="AD83" s="123"/>
      <c r="AE83" s="7"/>
      <c r="AF83" s="7"/>
      <c r="AG83" s="7"/>
      <c r="AH83" s="7"/>
    </row>
    <row r="84" spans="1:34" ht="18" customHeight="1" thickBot="1">
      <c r="A84" s="346" t="s">
        <v>99</v>
      </c>
      <c r="B84" s="347">
        <v>370</v>
      </c>
      <c r="C84" s="348" t="s">
        <v>73</v>
      </c>
      <c r="D84" s="385"/>
      <c r="E84" s="353"/>
      <c r="F84" s="338"/>
      <c r="G84" s="337"/>
      <c r="H84" s="338"/>
      <c r="I84" s="337"/>
      <c r="J84" s="668"/>
      <c r="K84" s="353"/>
      <c r="L84" s="339"/>
      <c r="M84" s="339"/>
      <c r="N84" s="360"/>
      <c r="O84" s="341"/>
      <c r="P84" s="349">
        <f>P83*P25/1000</f>
        <v>0.16</v>
      </c>
      <c r="Q84" s="339">
        <f>P84</f>
        <v>0.16</v>
      </c>
      <c r="R84" s="340"/>
      <c r="S84" s="337"/>
      <c r="T84" s="337"/>
      <c r="U84" s="353"/>
      <c r="V84" s="350"/>
      <c r="W84" s="350"/>
      <c r="X84" s="337"/>
      <c r="Y84" s="337"/>
      <c r="Z84" s="337"/>
      <c r="AA84" s="343">
        <f>ROUND(E84+G84+I84+K84+L84+M84+N84+O84+Q84+S84+T84+U84+V84+X84+Y84+Z84,2)</f>
        <v>0.16</v>
      </c>
      <c r="AB84" s="344">
        <f>AA84*B84</f>
        <v>59.2</v>
      </c>
      <c r="AC84" s="7"/>
      <c r="AD84" s="229">
        <f t="shared" si="2"/>
        <v>0.16</v>
      </c>
      <c r="AE84" s="7" t="str">
        <f>A84</f>
        <v>Томатная паста</v>
      </c>
      <c r="AF84" s="7"/>
      <c r="AG84" s="7"/>
      <c r="AH84" s="7"/>
    </row>
    <row r="85" spans="1:34" ht="18" customHeight="1" thickTop="1">
      <c r="A85" s="133"/>
      <c r="B85" s="122"/>
      <c r="C85" s="77" t="s">
        <v>72</v>
      </c>
      <c r="D85" s="287"/>
      <c r="E85" s="271"/>
      <c r="F85" s="112"/>
      <c r="G85" s="105"/>
      <c r="H85" s="112"/>
      <c r="I85" s="105"/>
      <c r="J85" s="669"/>
      <c r="K85" s="271"/>
      <c r="L85" s="127"/>
      <c r="M85" s="105"/>
      <c r="N85" s="273"/>
      <c r="O85" s="271"/>
      <c r="P85" s="112"/>
      <c r="Q85" s="105"/>
      <c r="R85" s="105"/>
      <c r="S85" s="127"/>
      <c r="T85" s="105"/>
      <c r="U85" s="105"/>
      <c r="V85" s="131"/>
      <c r="W85" s="127"/>
      <c r="X85" s="105"/>
      <c r="Y85" s="105"/>
      <c r="Z85" s="105"/>
      <c r="AA85" s="214"/>
      <c r="AB85" s="123"/>
      <c r="AC85" s="7"/>
      <c r="AD85" s="123"/>
      <c r="AE85" s="7"/>
      <c r="AF85" s="7"/>
      <c r="AG85" s="7"/>
      <c r="AH85" s="7"/>
    </row>
    <row r="86" spans="1:34" ht="18" customHeight="1" thickBot="1">
      <c r="A86" s="346"/>
      <c r="B86" s="347"/>
      <c r="C86" s="348" t="s">
        <v>73</v>
      </c>
      <c r="D86" s="385"/>
      <c r="E86" s="353"/>
      <c r="F86" s="338"/>
      <c r="G86" s="337"/>
      <c r="H86" s="338"/>
      <c r="I86" s="337"/>
      <c r="J86" s="668"/>
      <c r="K86" s="353"/>
      <c r="L86" s="357"/>
      <c r="M86" s="337"/>
      <c r="N86" s="360"/>
      <c r="O86" s="353"/>
      <c r="P86" s="338"/>
      <c r="Q86" s="337"/>
      <c r="R86" s="337"/>
      <c r="S86" s="357"/>
      <c r="T86" s="337"/>
      <c r="U86" s="337"/>
      <c r="V86" s="366"/>
      <c r="W86" s="357"/>
      <c r="X86" s="337"/>
      <c r="Y86" s="337"/>
      <c r="Z86" s="337"/>
      <c r="AA86" s="356">
        <f>ROUND(E86+G86+I86+K86+L86+M86+N86+O86+Q86+S86+T86+U86+V86+X86+Y86+Z86,3)</f>
        <v>0</v>
      </c>
      <c r="AB86" s="344">
        <f>AA86*B86</f>
        <v>0</v>
      </c>
      <c r="AC86" s="7"/>
      <c r="AD86" s="230">
        <f t="shared" si="2"/>
        <v>0</v>
      </c>
      <c r="AE86" s="7">
        <f>A86</f>
        <v>0</v>
      </c>
      <c r="AF86" s="7"/>
      <c r="AG86" s="7"/>
      <c r="AH86" s="7"/>
    </row>
    <row r="87" spans="1:34" ht="18" customHeight="1" thickTop="1">
      <c r="A87" s="133"/>
      <c r="B87" s="122"/>
      <c r="C87" s="77" t="s">
        <v>72</v>
      </c>
      <c r="D87" s="497">
        <v>10.6</v>
      </c>
      <c r="E87" s="129">
        <f>D87/D26*E26</f>
        <v>10.6</v>
      </c>
      <c r="F87" s="112"/>
      <c r="G87" s="106"/>
      <c r="H87" s="112"/>
      <c r="I87" s="106"/>
      <c r="J87" s="669"/>
      <c r="K87" s="268"/>
      <c r="L87" s="184"/>
      <c r="M87" s="106"/>
      <c r="N87" s="269"/>
      <c r="O87" s="268"/>
      <c r="P87" s="112"/>
      <c r="Q87" s="106"/>
      <c r="R87" s="106"/>
      <c r="S87" s="106"/>
      <c r="T87" s="106"/>
      <c r="U87" s="106"/>
      <c r="V87" s="106"/>
      <c r="W87" s="106"/>
      <c r="X87" s="127"/>
      <c r="Y87" s="106"/>
      <c r="Z87" s="106"/>
      <c r="AA87" s="214"/>
      <c r="AB87" s="123"/>
      <c r="AC87" s="7"/>
      <c r="AD87" s="123"/>
      <c r="AE87" s="7"/>
      <c r="AF87" s="7"/>
      <c r="AG87" s="7"/>
      <c r="AH87" s="7"/>
    </row>
    <row r="88" spans="1:34" ht="18" customHeight="1" thickBot="1">
      <c r="A88" s="346" t="s">
        <v>178</v>
      </c>
      <c r="B88" s="347">
        <v>540</v>
      </c>
      <c r="C88" s="348" t="s">
        <v>73</v>
      </c>
      <c r="D88" s="363">
        <f>D87*F25/1000</f>
        <v>1.06</v>
      </c>
      <c r="E88" s="341">
        <f>D88</f>
        <v>1.06</v>
      </c>
      <c r="F88" s="338"/>
      <c r="G88" s="337"/>
      <c r="H88" s="338"/>
      <c r="I88" s="337"/>
      <c r="J88" s="668"/>
      <c r="K88" s="353"/>
      <c r="L88" s="341"/>
      <c r="M88" s="337"/>
      <c r="N88" s="352"/>
      <c r="O88" s="353"/>
      <c r="P88" s="338"/>
      <c r="Q88" s="337"/>
      <c r="R88" s="337"/>
      <c r="S88" s="337"/>
      <c r="T88" s="337"/>
      <c r="U88" s="337"/>
      <c r="V88" s="337"/>
      <c r="W88" s="337"/>
      <c r="X88" s="355"/>
      <c r="Y88" s="337"/>
      <c r="Z88" s="337"/>
      <c r="AA88" s="343">
        <f>ROUND(E88+G88+I88+K88+L88+M88+N88+O88+Q88+S88+T88+U88+V88+X88+Y88+Z88,2)</f>
        <v>1.06</v>
      </c>
      <c r="AB88" s="344">
        <f>AA88*B88</f>
        <v>572.4</v>
      </c>
      <c r="AC88" s="7"/>
      <c r="AD88" s="230">
        <f t="shared" si="2"/>
        <v>2.12</v>
      </c>
      <c r="AE88" s="7" t="str">
        <f>A88</f>
        <v>Сыр "Росс"</v>
      </c>
      <c r="AF88" s="7"/>
      <c r="AG88" s="7"/>
      <c r="AH88" s="7"/>
    </row>
    <row r="89" spans="1:34" ht="18" customHeight="1" thickTop="1">
      <c r="A89" s="133"/>
      <c r="B89" s="122"/>
      <c r="C89" s="77" t="s">
        <v>72</v>
      </c>
      <c r="D89" s="287"/>
      <c r="E89" s="268"/>
      <c r="F89" s="112">
        <v>0.3</v>
      </c>
      <c r="G89" s="114">
        <f>F89/F26*G26</f>
        <v>0.3</v>
      </c>
      <c r="H89" s="112"/>
      <c r="I89" s="106"/>
      <c r="J89" s="669"/>
      <c r="K89" s="268"/>
      <c r="L89" s="130"/>
      <c r="M89" s="127">
        <v>0.3</v>
      </c>
      <c r="N89" s="270"/>
      <c r="O89" s="268">
        <v>0.6</v>
      </c>
      <c r="P89" s="112">
        <v>0.4</v>
      </c>
      <c r="Q89" s="114">
        <f>P89/P26*Q26</f>
        <v>0.4</v>
      </c>
      <c r="R89" s="130">
        <v>0.5</v>
      </c>
      <c r="S89" s="106"/>
      <c r="T89" s="106"/>
      <c r="U89" s="267"/>
      <c r="V89" s="679"/>
      <c r="W89" s="268"/>
      <c r="X89" s="127">
        <v>0.6</v>
      </c>
      <c r="Y89" s="106"/>
      <c r="Z89" s="106"/>
      <c r="AA89" s="214"/>
      <c r="AB89" s="123"/>
      <c r="AC89" s="7"/>
      <c r="AD89" s="123"/>
      <c r="AE89" s="7"/>
      <c r="AF89" s="7"/>
      <c r="AG89" s="7"/>
      <c r="AH89" s="7"/>
    </row>
    <row r="90" spans="1:34" ht="18" customHeight="1" thickBot="1">
      <c r="A90" s="346" t="s">
        <v>138</v>
      </c>
      <c r="B90" s="347">
        <v>28</v>
      </c>
      <c r="C90" s="348" t="s">
        <v>73</v>
      </c>
      <c r="D90" s="385"/>
      <c r="E90" s="353"/>
      <c r="F90" s="338">
        <f>F89*F25/1000</f>
        <v>0.03</v>
      </c>
      <c r="G90" s="974">
        <f>ROUND(F90,2)</f>
        <v>0.03</v>
      </c>
      <c r="H90" s="338"/>
      <c r="I90" s="337"/>
      <c r="J90" s="668"/>
      <c r="K90" s="353"/>
      <c r="L90" s="339">
        <f>L89*B25/1000</f>
        <v>0</v>
      </c>
      <c r="M90" s="342">
        <f>M89*B25/1000</f>
        <v>0.03</v>
      </c>
      <c r="N90" s="361"/>
      <c r="O90" s="341">
        <f>O89*B25/1000</f>
        <v>0.06</v>
      </c>
      <c r="P90" s="349">
        <f>P89*P25/1000</f>
        <v>0.04</v>
      </c>
      <c r="Q90" s="339">
        <f>ROUND(P90,2)</f>
        <v>0.04</v>
      </c>
      <c r="R90" s="339">
        <f>R89*B25/1000</f>
        <v>0.05</v>
      </c>
      <c r="S90" s="337"/>
      <c r="T90" s="337"/>
      <c r="U90" s="614"/>
      <c r="V90" s="589">
        <f>V89*V25/1000</f>
        <v>0</v>
      </c>
      <c r="W90" s="353"/>
      <c r="X90" s="339">
        <f>ROUND(X89*B25/1000,2)</f>
        <v>0.06</v>
      </c>
      <c r="Y90" s="337"/>
      <c r="Z90" s="337"/>
      <c r="AA90" s="343">
        <f>ROUND(E90+G90+I90+K90+L90+M90+N90+O90+Q90+R90+S90+T90+U90+V90+X90+Y90+Z90,2)</f>
        <v>0.27</v>
      </c>
      <c r="AB90" s="344">
        <f>AA90*B90</f>
        <v>7.5600000000000005</v>
      </c>
      <c r="AC90" s="7"/>
      <c r="AD90" s="229">
        <f t="shared" si="2"/>
        <v>0.52</v>
      </c>
      <c r="AE90" s="7" t="str">
        <f>A90</f>
        <v>Соль иодиров.</v>
      </c>
      <c r="AF90" s="7"/>
      <c r="AG90" s="7"/>
      <c r="AH90" s="7"/>
    </row>
    <row r="91" spans="1:34" ht="18" customHeight="1" thickTop="1">
      <c r="A91" s="133"/>
      <c r="B91" s="122"/>
      <c r="C91" s="77" t="s">
        <v>72</v>
      </c>
      <c r="D91" s="287"/>
      <c r="E91" s="268"/>
      <c r="F91" s="112"/>
      <c r="G91" s="106"/>
      <c r="H91" s="112"/>
      <c r="I91" s="106"/>
      <c r="J91" s="669"/>
      <c r="K91" s="268"/>
      <c r="L91" s="130">
        <f>L92/B25*1000</f>
        <v>180</v>
      </c>
      <c r="M91" s="106"/>
      <c r="N91" s="274"/>
      <c r="O91" s="268"/>
      <c r="P91" s="112"/>
      <c r="Q91" s="113"/>
      <c r="R91" s="113"/>
      <c r="S91" s="106"/>
      <c r="T91" s="106"/>
      <c r="U91" s="106"/>
      <c r="V91" s="131"/>
      <c r="W91" s="127"/>
      <c r="X91" s="106"/>
      <c r="Y91" s="106"/>
      <c r="Z91" s="106"/>
      <c r="AA91" s="215"/>
      <c r="AB91" s="216"/>
      <c r="AC91" s="7"/>
      <c r="AD91" s="123"/>
      <c r="AE91" s="7"/>
      <c r="AF91" s="7"/>
      <c r="AG91" s="7"/>
      <c r="AH91" s="7"/>
    </row>
    <row r="92" spans="1:34" ht="18" customHeight="1" thickBot="1">
      <c r="A92" s="346" t="s">
        <v>267</v>
      </c>
      <c r="B92" s="347">
        <v>33.61</v>
      </c>
      <c r="C92" s="348" t="s">
        <v>73</v>
      </c>
      <c r="D92" s="385"/>
      <c r="E92" s="353"/>
      <c r="F92" s="338"/>
      <c r="G92" s="337"/>
      <c r="H92" s="338"/>
      <c r="I92" s="337"/>
      <c r="J92" s="668"/>
      <c r="K92" s="353"/>
      <c r="L92" s="339">
        <v>18</v>
      </c>
      <c r="M92" s="337"/>
      <c r="N92" s="360"/>
      <c r="O92" s="353"/>
      <c r="P92" s="349"/>
      <c r="Q92" s="340"/>
      <c r="R92" s="340"/>
      <c r="S92" s="337"/>
      <c r="T92" s="337"/>
      <c r="U92" s="353"/>
      <c r="V92" s="341"/>
      <c r="W92" s="341"/>
      <c r="X92" s="337"/>
      <c r="Y92" s="337"/>
      <c r="Z92" s="337"/>
      <c r="AA92" s="343">
        <f>ROUND(E92+G92+I92+K92+L92+M92+N92+O92+Q92+S92+T92+V92+X92+Y92+Z92,2)</f>
        <v>18</v>
      </c>
      <c r="AB92" s="344">
        <f>AA92*B92</f>
        <v>604.98</v>
      </c>
      <c r="AC92" s="7"/>
      <c r="AD92" s="229">
        <f t="shared" si="2"/>
        <v>33</v>
      </c>
      <c r="AE92" s="7" t="str">
        <f>A92</f>
        <v>Сок фрукт.</v>
      </c>
      <c r="AF92" s="7"/>
      <c r="AG92" s="7"/>
      <c r="AH92" s="7"/>
    </row>
    <row r="93" spans="1:34" ht="18" customHeight="1" thickTop="1">
      <c r="A93" s="141"/>
      <c r="B93" s="334"/>
      <c r="C93" s="310" t="s">
        <v>72</v>
      </c>
      <c r="D93" s="693"/>
      <c r="E93" s="268"/>
      <c r="F93" s="112"/>
      <c r="G93" s="113"/>
      <c r="H93" s="112"/>
      <c r="I93" s="106"/>
      <c r="J93" s="669"/>
      <c r="K93" s="268"/>
      <c r="L93" s="106"/>
      <c r="M93" s="106"/>
      <c r="N93" s="270"/>
      <c r="O93" s="268"/>
      <c r="P93" s="112"/>
      <c r="Q93" s="106"/>
      <c r="R93" s="106"/>
      <c r="S93" s="106"/>
      <c r="T93" s="106"/>
      <c r="U93" s="106">
        <f>U94/B25*1000</f>
        <v>31.5</v>
      </c>
      <c r="V93" s="106"/>
      <c r="W93" s="106"/>
      <c r="X93" s="106"/>
      <c r="Y93" s="106"/>
      <c r="Z93" s="106"/>
      <c r="AA93" s="215"/>
      <c r="AB93" s="950"/>
      <c r="AC93" s="7"/>
      <c r="AD93" s="123"/>
      <c r="AE93" s="7"/>
      <c r="AF93" s="7"/>
      <c r="AG93" s="7"/>
      <c r="AH93" s="7"/>
    </row>
    <row r="94" spans="1:34" ht="18" customHeight="1" thickBot="1">
      <c r="A94" s="346" t="s">
        <v>204</v>
      </c>
      <c r="B94" s="347">
        <v>190</v>
      </c>
      <c r="C94" s="348" t="s">
        <v>73</v>
      </c>
      <c r="D94" s="385"/>
      <c r="E94" s="353"/>
      <c r="F94" s="363"/>
      <c r="G94" s="340"/>
      <c r="H94" s="338"/>
      <c r="I94" s="337"/>
      <c r="J94" s="668"/>
      <c r="K94" s="353"/>
      <c r="L94" s="337"/>
      <c r="M94" s="337"/>
      <c r="N94" s="352"/>
      <c r="O94" s="353"/>
      <c r="P94" s="338"/>
      <c r="Q94" s="337"/>
      <c r="R94" s="337"/>
      <c r="S94" s="337"/>
      <c r="T94" s="337"/>
      <c r="U94" s="342">
        <v>3.15</v>
      </c>
      <c r="V94" s="337"/>
      <c r="W94" s="337"/>
      <c r="X94" s="337"/>
      <c r="Y94" s="357"/>
      <c r="Z94" s="337"/>
      <c r="AA94" s="356">
        <f>ROUND(E94+G94+I94+K94+L94+M94+N94+O94+Q94+S94+T94+U94+V94+X94+Y94+Z94,3)</f>
        <v>3.15</v>
      </c>
      <c r="AB94" s="344">
        <f>AA94*B94</f>
        <v>598.5</v>
      </c>
      <c r="AC94" s="7"/>
      <c r="AD94" s="229">
        <f t="shared" si="2"/>
        <v>3.15</v>
      </c>
      <c r="AE94" s="7" t="str">
        <f>A94</f>
        <v>Икра кабачк.</v>
      </c>
      <c r="AF94" s="7"/>
      <c r="AG94" s="7"/>
      <c r="AH94" s="7"/>
    </row>
    <row r="95" spans="1:34" ht="18" customHeight="1">
      <c r="A95" s="136"/>
      <c r="B95" s="6"/>
      <c r="C95" s="75"/>
      <c r="D95" s="298"/>
      <c r="E95" s="271"/>
      <c r="F95" s="112"/>
      <c r="G95" s="105"/>
      <c r="H95" s="112"/>
      <c r="I95" s="105"/>
      <c r="J95" s="669"/>
      <c r="K95" s="271"/>
      <c r="L95" s="105"/>
      <c r="M95" s="105"/>
      <c r="N95" s="273"/>
      <c r="O95" s="271"/>
      <c r="P95" s="112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25"/>
      <c r="AB95" s="126">
        <f>AB28+AB30+AB32+AB34+AB36+AB38+AB40+AB42+AB44+AB46+AB48+AB50+AB52+AB62+AB64+AB66+AB68+AB70+AB72+AB74+AB76+AB78+AB80+AB82+AB84+AB86+AB88+AB90+AB92+AB94</f>
        <v>10976.2096</v>
      </c>
      <c r="AC95" s="7"/>
      <c r="AD95" s="123"/>
      <c r="AE95" s="7"/>
      <c r="AF95" s="7"/>
      <c r="AG95" s="7"/>
      <c r="AH95" s="7"/>
    </row>
    <row r="96" spans="1:34" ht="9.75" customHeight="1"/>
    <row r="97" spans="1:28">
      <c r="A97" s="43" t="s">
        <v>311</v>
      </c>
      <c r="S97" s="43" t="s">
        <v>30</v>
      </c>
      <c r="AB97" s="118">
        <f>K13</f>
        <v>11000</v>
      </c>
    </row>
    <row r="98" spans="1:28" ht="9" customHeight="1">
      <c r="A98" s="43" t="s">
        <v>50</v>
      </c>
      <c r="S98" s="43" t="s">
        <v>31</v>
      </c>
    </row>
    <row r="99" spans="1:28" ht="19.5" customHeight="1">
      <c r="A99" s="43" t="s">
        <v>320</v>
      </c>
      <c r="S99" s="43" t="s">
        <v>330</v>
      </c>
    </row>
    <row r="100" spans="1:28" ht="9" customHeight="1">
      <c r="A100" s="43" t="s">
        <v>37</v>
      </c>
      <c r="S100" s="43" t="s">
        <v>31</v>
      </c>
    </row>
    <row r="101" spans="1:28" ht="9.75" customHeight="1">
      <c r="A101" s="3" t="s">
        <v>321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U101" s="7"/>
      <c r="X101" s="10"/>
      <c r="Y101" s="10"/>
      <c r="Z101" s="10"/>
      <c r="AA101" s="11"/>
      <c r="AB101" s="11"/>
    </row>
    <row r="102" spans="1:28" ht="18">
      <c r="A102" s="9" t="s">
        <v>2</v>
      </c>
      <c r="B102" s="8"/>
      <c r="C102" s="8"/>
      <c r="D102" s="8"/>
      <c r="E102" s="8"/>
      <c r="F102" s="11"/>
      <c r="G102" s="8"/>
      <c r="H102" s="8"/>
      <c r="I102" s="8"/>
      <c r="J102" s="8"/>
      <c r="K102" s="8"/>
      <c r="L102" s="8"/>
      <c r="M102" s="8"/>
      <c r="N102" s="8"/>
      <c r="O102" s="1060" t="s">
        <v>80</v>
      </c>
      <c r="P102" s="1060"/>
      <c r="Q102" s="1060"/>
      <c r="R102" s="1060"/>
      <c r="S102" s="1060"/>
      <c r="T102" s="1060"/>
      <c r="U102" s="1060"/>
      <c r="V102" s="1060"/>
      <c r="W102" s="1060"/>
      <c r="X102" s="1060"/>
      <c r="Y102" s="1060"/>
      <c r="Z102" s="1060"/>
      <c r="AA102" s="1060"/>
      <c r="AB102" s="1060"/>
    </row>
    <row r="103" spans="1:28" ht="18.75">
      <c r="A103" s="757" t="str">
        <f>A4</f>
        <v>"08"   января  2024  г.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"/>
      <c r="U103" s="1"/>
    </row>
    <row r="104" spans="1:28" ht="2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2"/>
      <c r="N104" s="3"/>
      <c r="O104" s="2"/>
      <c r="P104" s="2"/>
      <c r="Q104" s="2"/>
      <c r="R104" s="2"/>
      <c r="S104" s="2"/>
      <c r="T104" s="1"/>
      <c r="U104" s="1"/>
      <c r="V104" s="7"/>
      <c r="W104" s="7"/>
      <c r="X104" s="7"/>
      <c r="Y104" s="7"/>
      <c r="Z104" s="7"/>
    </row>
    <row r="105" spans="1:28" ht="13.5" thickBot="1">
      <c r="A105" s="1048" t="s">
        <v>42</v>
      </c>
      <c r="B105" s="1048"/>
      <c r="C105" s="1048"/>
      <c r="D105" s="729"/>
      <c r="E105" s="1047" t="s">
        <v>35</v>
      </c>
      <c r="F105" s="1048"/>
      <c r="G105" s="1049"/>
      <c r="H105" s="1047" t="s">
        <v>60</v>
      </c>
      <c r="I105" s="1048"/>
      <c r="J105" s="1049"/>
      <c r="K105" s="1047" t="s">
        <v>58</v>
      </c>
      <c r="L105" s="1048"/>
      <c r="M105" s="1048"/>
      <c r="N105" s="31"/>
      <c r="O105" s="21"/>
      <c r="P105" s="31"/>
      <c r="Q105" s="21"/>
      <c r="R105" s="3"/>
      <c r="S105" s="3"/>
      <c r="T105" s="7"/>
      <c r="U105" s="7"/>
      <c r="V105" s="7"/>
      <c r="W105" s="7"/>
      <c r="X105" s="7"/>
      <c r="Y105" s="7"/>
      <c r="Z105" s="7"/>
      <c r="AA105" s="1088" t="s">
        <v>0</v>
      </c>
      <c r="AB105" s="1089"/>
    </row>
    <row r="106" spans="1:28" ht="6.75" customHeight="1">
      <c r="A106" s="1059" t="s">
        <v>43</v>
      </c>
      <c r="B106" s="1059"/>
      <c r="C106" s="1059"/>
      <c r="D106" s="726"/>
      <c r="E106" s="1065" t="s">
        <v>34</v>
      </c>
      <c r="F106" s="1066"/>
      <c r="G106" s="1067"/>
      <c r="H106" s="1065" t="s">
        <v>12</v>
      </c>
      <c r="I106" s="1066"/>
      <c r="J106" s="1067"/>
      <c r="K106" s="1065" t="s">
        <v>15</v>
      </c>
      <c r="L106" s="1066"/>
      <c r="M106" s="1108"/>
      <c r="N106" s="1065" t="s">
        <v>14</v>
      </c>
      <c r="O106" s="1067"/>
      <c r="P106" s="1065" t="s">
        <v>55</v>
      </c>
      <c r="Q106" s="1067"/>
      <c r="R106" s="1106" t="str">
        <f>R7</f>
        <v>на "09" января  2024 г</v>
      </c>
      <c r="S106" s="1138"/>
      <c r="T106" s="1138"/>
      <c r="U106" s="1138"/>
      <c r="V106" s="1138"/>
      <c r="W106" s="1138"/>
      <c r="Y106" s="1050" t="s">
        <v>190</v>
      </c>
      <c r="Z106" s="1156"/>
      <c r="AA106" s="1090" t="s">
        <v>23</v>
      </c>
      <c r="AB106" s="1091"/>
    </row>
    <row r="107" spans="1:28">
      <c r="A107" s="730" t="s">
        <v>44</v>
      </c>
      <c r="B107" s="1047" t="s">
        <v>46</v>
      </c>
      <c r="C107" s="1048"/>
      <c r="D107" s="726"/>
      <c r="E107" s="1065" t="s">
        <v>39</v>
      </c>
      <c r="F107" s="1066"/>
      <c r="G107" s="1067"/>
      <c r="H107" s="1065" t="s">
        <v>49</v>
      </c>
      <c r="I107" s="1066"/>
      <c r="J107" s="1067"/>
      <c r="K107" s="1065" t="s">
        <v>59</v>
      </c>
      <c r="L107" s="1066"/>
      <c r="M107" s="1066"/>
      <c r="N107" s="1065" t="s">
        <v>40</v>
      </c>
      <c r="O107" s="1067"/>
      <c r="P107" s="1065" t="s">
        <v>56</v>
      </c>
      <c r="Q107" s="1067"/>
      <c r="R107" s="1138"/>
      <c r="S107" s="1138"/>
      <c r="T107" s="1138"/>
      <c r="U107" s="1138"/>
      <c r="V107" s="1138"/>
      <c r="W107" s="1138"/>
      <c r="AA107" s="54"/>
      <c r="AB107" s="55"/>
    </row>
    <row r="108" spans="1:28">
      <c r="A108" s="727" t="s">
        <v>45</v>
      </c>
      <c r="B108" s="1065" t="s">
        <v>47</v>
      </c>
      <c r="C108" s="1108"/>
      <c r="D108" s="725"/>
      <c r="E108" s="1065" t="s">
        <v>38</v>
      </c>
      <c r="F108" s="1066"/>
      <c r="G108" s="1067"/>
      <c r="H108" s="1065" t="s">
        <v>13</v>
      </c>
      <c r="I108" s="1066"/>
      <c r="J108" s="1067"/>
      <c r="K108" s="1065" t="s">
        <v>38</v>
      </c>
      <c r="L108" s="1066"/>
      <c r="M108" s="1066"/>
      <c r="N108" s="25"/>
      <c r="O108" s="3"/>
      <c r="P108" s="1065" t="s">
        <v>57</v>
      </c>
      <c r="Q108" s="1067"/>
      <c r="R108" s="3" t="s">
        <v>194</v>
      </c>
      <c r="S108" s="548"/>
      <c r="T108" s="548"/>
      <c r="U108" s="120"/>
      <c r="V108" s="120"/>
      <c r="W108" s="120"/>
      <c r="X108" s="120"/>
      <c r="Y108" s="120"/>
      <c r="Z108" s="746" t="s">
        <v>191</v>
      </c>
      <c r="AA108" s="120"/>
      <c r="AB108" s="700"/>
    </row>
    <row r="109" spans="1:28" ht="2.25" customHeight="1">
      <c r="A109" s="17"/>
      <c r="B109" s="1058" t="s">
        <v>48</v>
      </c>
      <c r="C109" s="1059"/>
      <c r="D109" s="726"/>
      <c r="E109" s="723"/>
      <c r="F109" s="3"/>
      <c r="G109" s="30"/>
      <c r="H109" s="3"/>
      <c r="I109" s="3"/>
      <c r="J109" s="30"/>
      <c r="K109" s="1058"/>
      <c r="L109" s="1059"/>
      <c r="M109" s="1059"/>
      <c r="N109" s="25"/>
      <c r="O109" s="3"/>
      <c r="P109" s="25"/>
      <c r="Q109" s="17"/>
      <c r="S109" s="709" t="s">
        <v>96</v>
      </c>
      <c r="W109" s="120"/>
      <c r="Z109" s="56"/>
      <c r="AA109" s="425"/>
      <c r="AB109" s="55"/>
    </row>
    <row r="110" spans="1:28" ht="13.5" thickBot="1">
      <c r="A110" s="58">
        <v>1</v>
      </c>
      <c r="B110" s="62"/>
      <c r="C110" s="63">
        <v>2</v>
      </c>
      <c r="D110" s="292"/>
      <c r="E110" s="731"/>
      <c r="F110" s="731">
        <v>3</v>
      </c>
      <c r="G110" s="733"/>
      <c r="H110" s="731"/>
      <c r="I110" s="731">
        <v>4</v>
      </c>
      <c r="J110" s="733"/>
      <c r="K110" s="731"/>
      <c r="L110" s="731"/>
      <c r="M110" s="731">
        <v>5</v>
      </c>
      <c r="N110" s="732"/>
      <c r="O110" s="731"/>
      <c r="P110" s="1104">
        <v>7</v>
      </c>
      <c r="Q110" s="1105"/>
      <c r="R110" s="1074" t="s">
        <v>307</v>
      </c>
      <c r="S110" s="1061"/>
      <c r="T110" s="1061"/>
      <c r="U110" s="1061"/>
      <c r="V110" s="1061"/>
      <c r="W110" s="1061"/>
      <c r="X110" s="1061"/>
      <c r="Y110" s="7"/>
      <c r="Z110" s="699" t="s">
        <v>199</v>
      </c>
      <c r="AA110" s="751"/>
      <c r="AB110" s="57"/>
    </row>
    <row r="111" spans="1:28" ht="8.25" customHeight="1">
      <c r="A111" s="37"/>
      <c r="B111" s="38"/>
      <c r="C111" s="38"/>
      <c r="D111" s="38"/>
      <c r="E111" s="38"/>
      <c r="F111" s="38"/>
      <c r="G111" s="39"/>
      <c r="H111" s="38"/>
      <c r="I111" s="38"/>
      <c r="J111" s="39"/>
      <c r="K111" s="38"/>
      <c r="L111" s="38"/>
      <c r="M111" s="38"/>
      <c r="N111" s="40"/>
      <c r="O111" s="39"/>
      <c r="P111" s="41"/>
      <c r="Q111" s="42"/>
      <c r="R111" s="1061"/>
      <c r="S111" s="1061"/>
      <c r="T111" s="1061"/>
      <c r="U111" s="1061"/>
      <c r="V111" s="1061"/>
      <c r="W111" s="1061"/>
      <c r="X111" s="1061"/>
      <c r="Y111" s="217"/>
      <c r="Z111" s="741"/>
      <c r="AA111" s="32"/>
      <c r="AB111" s="56"/>
    </row>
    <row r="112" spans="1:28" ht="15.75">
      <c r="A112" s="780" t="s">
        <v>201</v>
      </c>
      <c r="B112" s="28"/>
      <c r="C112" s="28"/>
      <c r="D112" s="28"/>
      <c r="E112" s="28"/>
      <c r="F112" s="28"/>
      <c r="G112" s="218">
        <f>G13</f>
        <v>110</v>
      </c>
      <c r="H112" s="28"/>
      <c r="I112" s="140">
        <f>B124</f>
        <v>100</v>
      </c>
      <c r="J112" s="50"/>
      <c r="K112" s="1075">
        <f>G112*I112</f>
        <v>11000</v>
      </c>
      <c r="L112" s="1114"/>
      <c r="M112" s="1069"/>
      <c r="N112" s="1068">
        <f>AB194/B124</f>
        <v>87.616311999999994</v>
      </c>
      <c r="O112" s="1069"/>
      <c r="P112" s="14"/>
      <c r="Q112" s="52"/>
      <c r="R112" s="3"/>
      <c r="S112" s="710" t="str">
        <f>S13</f>
        <v>"Детский сад № 31 г. Ельца"</v>
      </c>
      <c r="T112" s="2"/>
      <c r="U112" s="538"/>
      <c r="V112" s="7"/>
      <c r="W112" s="7"/>
      <c r="X112" s="7"/>
      <c r="Y112" s="7"/>
      <c r="Z112" s="610"/>
      <c r="AA112" s="751"/>
      <c r="AB112" s="742"/>
    </row>
    <row r="113" spans="1:28" ht="8.25" customHeight="1" thickBot="1">
      <c r="A113" s="766"/>
      <c r="B113" s="48"/>
      <c r="C113" s="45"/>
      <c r="D113" s="45"/>
      <c r="E113" s="45"/>
      <c r="F113" s="45"/>
      <c r="G113" s="49"/>
      <c r="H113" s="45"/>
      <c r="I113" s="45"/>
      <c r="J113" s="49"/>
      <c r="K113" s="28"/>
      <c r="L113" s="28"/>
      <c r="M113" s="28"/>
      <c r="N113" s="51"/>
      <c r="O113" s="27"/>
      <c r="P113" s="14"/>
      <c r="Q113" s="52"/>
      <c r="R113" s="3"/>
      <c r="S113" s="3"/>
      <c r="T113" s="7"/>
      <c r="U113" s="7"/>
      <c r="AA113" s="54"/>
      <c r="AB113" s="56"/>
    </row>
    <row r="114" spans="1:28" ht="19.5" thickBot="1">
      <c r="A114" s="769"/>
      <c r="B114" s="38"/>
      <c r="C114" s="38"/>
      <c r="D114" s="38"/>
      <c r="E114" s="38"/>
      <c r="F114" s="38"/>
      <c r="G114" s="38"/>
      <c r="H114" s="38"/>
      <c r="I114" s="3" t="s">
        <v>33</v>
      </c>
      <c r="J114" s="42"/>
      <c r="K114" s="45"/>
      <c r="L114" s="45"/>
      <c r="M114" s="45"/>
      <c r="N114" s="1116">
        <f>N112*B124</f>
        <v>8761.6311999999998</v>
      </c>
      <c r="O114" s="1226"/>
      <c r="P114" s="46"/>
      <c r="Q114" s="47"/>
      <c r="R114" s="3" t="s">
        <v>193</v>
      </c>
      <c r="S114" s="7"/>
      <c r="T114" s="7"/>
      <c r="U114" s="549"/>
      <c r="V114" s="711" t="str">
        <f>V15</f>
        <v>Глухова Г.В.</v>
      </c>
      <c r="AA114" s="66"/>
      <c r="AB114" s="67"/>
    </row>
    <row r="115" spans="1:28" ht="10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8"/>
      <c r="L115" s="38"/>
      <c r="M115" s="38"/>
      <c r="N115" s="38"/>
      <c r="O115" s="38"/>
      <c r="P115" s="41"/>
      <c r="Q115" s="38"/>
      <c r="R115" s="3"/>
      <c r="S115" s="3"/>
      <c r="T115" s="7"/>
      <c r="U115" s="7"/>
    </row>
    <row r="116" spans="1:28" ht="2.2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7"/>
      <c r="U116" s="7"/>
      <c r="V116" s="7"/>
      <c r="W116" s="7"/>
      <c r="X116" s="7"/>
      <c r="Y116" s="7"/>
      <c r="Z116" s="7"/>
      <c r="AA116" s="8"/>
      <c r="AB116" s="8"/>
    </row>
    <row r="117" spans="1:28">
      <c r="A117" s="26" t="s">
        <v>53</v>
      </c>
      <c r="B117" s="20"/>
      <c r="C117" s="65"/>
      <c r="D117" s="65"/>
      <c r="E117" s="14"/>
      <c r="F117" s="14"/>
      <c r="G117" s="14"/>
      <c r="H117" s="14"/>
      <c r="I117" s="14"/>
      <c r="J117" s="14"/>
      <c r="K117" s="14"/>
      <c r="L117" s="14"/>
      <c r="M117" s="14"/>
      <c r="N117" s="28" t="s">
        <v>41</v>
      </c>
      <c r="O117" s="14"/>
      <c r="P117" s="14"/>
      <c r="Q117" s="14"/>
      <c r="R117" s="14"/>
      <c r="S117" s="28"/>
      <c r="T117" s="28"/>
      <c r="U117" s="28"/>
      <c r="V117" s="14"/>
      <c r="W117" s="14"/>
      <c r="X117" s="14"/>
      <c r="Y117" s="14"/>
      <c r="Z117" s="14"/>
      <c r="AA117" s="1047" t="s">
        <v>8</v>
      </c>
      <c r="AB117" s="1048"/>
    </row>
    <row r="118" spans="1:28" ht="8.25" customHeight="1">
      <c r="A118" s="208"/>
      <c r="B118" s="19"/>
      <c r="C118" s="878" t="s">
        <v>52</v>
      </c>
      <c r="D118" s="885"/>
      <c r="E118" s="1052" t="s">
        <v>269</v>
      </c>
      <c r="F118" s="1084"/>
      <c r="G118" s="1084"/>
      <c r="H118" s="1084"/>
      <c r="I118" s="1084"/>
      <c r="J118" s="1084"/>
      <c r="K118" s="1085"/>
      <c r="L118" s="949" t="s">
        <v>69</v>
      </c>
      <c r="M118" s="1139" t="s">
        <v>16</v>
      </c>
      <c r="N118" s="1052"/>
      <c r="O118" s="1052"/>
      <c r="P118" s="1052"/>
      <c r="Q118" s="1052"/>
      <c r="R118" s="1052"/>
      <c r="S118" s="1052"/>
      <c r="T118" s="1052"/>
      <c r="U118" s="927"/>
      <c r="V118" s="1052" t="s">
        <v>17</v>
      </c>
      <c r="W118" s="1052"/>
      <c r="X118" s="1052"/>
      <c r="Y118" s="1052"/>
      <c r="Z118" s="1087"/>
      <c r="AA118" s="1062" t="s">
        <v>3</v>
      </c>
      <c r="AB118" s="1059"/>
    </row>
    <row r="119" spans="1:28" ht="4.5" customHeight="1">
      <c r="A119" s="207"/>
      <c r="B119" s="5"/>
      <c r="C119" s="878" t="s">
        <v>51</v>
      </c>
      <c r="D119" s="879"/>
      <c r="E119" s="1054"/>
      <c r="F119" s="1054"/>
      <c r="G119" s="1054"/>
      <c r="H119" s="1054"/>
      <c r="I119" s="1054"/>
      <c r="J119" s="1054"/>
      <c r="K119" s="1086"/>
      <c r="L119" s="923"/>
      <c r="M119" s="1140"/>
      <c r="N119" s="1054"/>
      <c r="O119" s="1054"/>
      <c r="P119" s="1054"/>
      <c r="Q119" s="1054"/>
      <c r="R119" s="1054"/>
      <c r="S119" s="1054"/>
      <c r="T119" s="1054"/>
      <c r="U119" s="926"/>
      <c r="V119" s="1054"/>
      <c r="W119" s="1054"/>
      <c r="X119" s="1054"/>
      <c r="Y119" s="1054"/>
      <c r="Z119" s="1086"/>
      <c r="AA119" s="1063" t="s">
        <v>36</v>
      </c>
      <c r="AB119" s="1064"/>
    </row>
    <row r="120" spans="1:28" ht="12.75" customHeight="1">
      <c r="A120" s="207" t="s">
        <v>54</v>
      </c>
      <c r="B120" s="5"/>
      <c r="C120" s="70" t="s">
        <v>9</v>
      </c>
      <c r="D120" s="1041" t="s">
        <v>166</v>
      </c>
      <c r="E120" s="1233" t="s">
        <v>167</v>
      </c>
      <c r="F120" s="1101" t="s">
        <v>139</v>
      </c>
      <c r="G120" s="1230" t="s">
        <v>299</v>
      </c>
      <c r="H120" s="1041" t="s">
        <v>155</v>
      </c>
      <c r="I120" s="1038"/>
      <c r="J120" s="875"/>
      <c r="K120" s="1041" t="s">
        <v>266</v>
      </c>
      <c r="L120" s="1041" t="s">
        <v>242</v>
      </c>
      <c r="M120" s="1070" t="s">
        <v>253</v>
      </c>
      <c r="N120" s="1152" t="s">
        <v>294</v>
      </c>
      <c r="O120" s="1153"/>
      <c r="P120" s="1107" t="s">
        <v>185</v>
      </c>
      <c r="Q120" s="1227" t="s">
        <v>260</v>
      </c>
      <c r="R120" s="880"/>
      <c r="S120" s="1107" t="s">
        <v>255</v>
      </c>
      <c r="T120" s="1070" t="s">
        <v>68</v>
      </c>
      <c r="U120" s="1070"/>
      <c r="V120" s="1152"/>
      <c r="W120" s="1107" t="s">
        <v>256</v>
      </c>
      <c r="X120" s="1153"/>
      <c r="Y120" s="1070" t="s">
        <v>234</v>
      </c>
      <c r="Z120" s="1070" t="s">
        <v>70</v>
      </c>
      <c r="AA120" s="852"/>
      <c r="AB120" s="23"/>
    </row>
    <row r="121" spans="1:28">
      <c r="A121" s="207"/>
      <c r="B121" s="5"/>
      <c r="C121" s="70" t="s">
        <v>10</v>
      </c>
      <c r="D121" s="1042"/>
      <c r="E121" s="1234"/>
      <c r="F121" s="1102"/>
      <c r="G121" s="1231"/>
      <c r="H121" s="1042"/>
      <c r="I121" s="1039"/>
      <c r="J121" s="876"/>
      <c r="K121" s="1042"/>
      <c r="L121" s="1042"/>
      <c r="M121" s="1071"/>
      <c r="N121" s="1154"/>
      <c r="O121" s="1146"/>
      <c r="P121" s="1160"/>
      <c r="Q121" s="1228"/>
      <c r="R121" s="881"/>
      <c r="S121" s="1160"/>
      <c r="T121" s="1071"/>
      <c r="U121" s="1130"/>
      <c r="V121" s="1160"/>
      <c r="W121" s="1203"/>
      <c r="X121" s="1146"/>
      <c r="Y121" s="1071"/>
      <c r="Z121" s="1071"/>
      <c r="AA121" s="19" t="s">
        <v>6</v>
      </c>
      <c r="AB121" s="206" t="s">
        <v>4</v>
      </c>
    </row>
    <row r="122" spans="1:28" ht="78.75" customHeight="1">
      <c r="A122" s="209"/>
      <c r="B122" s="4"/>
      <c r="C122" s="71"/>
      <c r="D122" s="1043"/>
      <c r="E122" s="1235"/>
      <c r="F122" s="1103"/>
      <c r="G122" s="1232"/>
      <c r="H122" s="1043"/>
      <c r="I122" s="1040"/>
      <c r="J122" s="877" t="s">
        <v>171</v>
      </c>
      <c r="K122" s="1043"/>
      <c r="L122" s="1043"/>
      <c r="M122" s="1072"/>
      <c r="N122" s="1155"/>
      <c r="O122" s="1131"/>
      <c r="P122" s="1161"/>
      <c r="Q122" s="1229"/>
      <c r="R122" s="882" t="s">
        <v>182</v>
      </c>
      <c r="S122" s="1161"/>
      <c r="T122" s="1072"/>
      <c r="U122" s="1217"/>
      <c r="V122" s="1161"/>
      <c r="W122" s="1204"/>
      <c r="X122" s="1131"/>
      <c r="Y122" s="1072"/>
      <c r="Z122" s="1072"/>
      <c r="AA122" s="4" t="s">
        <v>7</v>
      </c>
      <c r="AB122" s="205" t="s">
        <v>5</v>
      </c>
    </row>
    <row r="123" spans="1:28" ht="8.25" customHeight="1">
      <c r="A123" s="64">
        <v>1</v>
      </c>
      <c r="B123" s="34">
        <v>2</v>
      </c>
      <c r="C123" s="72">
        <v>3</v>
      </c>
      <c r="D123" s="86"/>
      <c r="E123" s="80">
        <v>4</v>
      </c>
      <c r="F123" s="86">
        <v>5</v>
      </c>
      <c r="G123" s="76">
        <v>6</v>
      </c>
      <c r="H123" s="919">
        <v>7</v>
      </c>
      <c r="I123" s="680">
        <v>8</v>
      </c>
      <c r="J123" s="82">
        <v>9</v>
      </c>
      <c r="K123" s="95">
        <v>10</v>
      </c>
      <c r="L123" s="96">
        <v>11</v>
      </c>
      <c r="M123" s="81">
        <v>12</v>
      </c>
      <c r="N123" s="82">
        <v>13</v>
      </c>
      <c r="O123" s="93">
        <v>14</v>
      </c>
      <c r="P123" s="97">
        <v>15</v>
      </c>
      <c r="Q123" s="93">
        <v>16</v>
      </c>
      <c r="R123" s="80"/>
      <c r="S123" s="96">
        <v>17</v>
      </c>
      <c r="T123" s="98">
        <v>18</v>
      </c>
      <c r="U123" s="96"/>
      <c r="V123" s="80"/>
      <c r="W123" s="80"/>
      <c r="X123" s="96">
        <v>20</v>
      </c>
      <c r="Y123" s="81">
        <v>21</v>
      </c>
      <c r="Z123" s="96">
        <v>22</v>
      </c>
      <c r="AA123" s="35">
        <v>30</v>
      </c>
      <c r="AB123" s="36">
        <v>31</v>
      </c>
    </row>
    <row r="124" spans="1:28" ht="15.75">
      <c r="A124" s="16" t="s">
        <v>18</v>
      </c>
      <c r="B124" s="221">
        <v>100</v>
      </c>
      <c r="C124" s="73"/>
      <c r="D124" s="89">
        <f>F124</f>
        <v>100</v>
      </c>
      <c r="E124" s="99">
        <f>B124</f>
        <v>100</v>
      </c>
      <c r="F124" s="222">
        <v>100</v>
      </c>
      <c r="G124" s="99">
        <f>B124</f>
        <v>100</v>
      </c>
      <c r="H124" s="89">
        <f>F124</f>
        <v>100</v>
      </c>
      <c r="I124" s="99">
        <f>B124</f>
        <v>100</v>
      </c>
      <c r="J124" s="664">
        <f>B124</f>
        <v>100</v>
      </c>
      <c r="K124" s="99">
        <f>B124</f>
        <v>100</v>
      </c>
      <c r="L124" s="99">
        <f>B124</f>
        <v>100</v>
      </c>
      <c r="M124" s="99">
        <f>B124</f>
        <v>100</v>
      </c>
      <c r="N124" s="980">
        <f>F124</f>
        <v>100</v>
      </c>
      <c r="O124" s="99">
        <f>B124</f>
        <v>100</v>
      </c>
      <c r="P124" s="109">
        <f>F124</f>
        <v>100</v>
      </c>
      <c r="Q124" s="99">
        <f>B124</f>
        <v>100</v>
      </c>
      <c r="R124" s="99">
        <f>E124</f>
        <v>100</v>
      </c>
      <c r="S124" s="99">
        <f>B124</f>
        <v>100</v>
      </c>
      <c r="T124" s="99">
        <f>B124</f>
        <v>100</v>
      </c>
      <c r="U124" s="99"/>
      <c r="V124" s="99"/>
      <c r="W124" s="248">
        <f>F124</f>
        <v>100</v>
      </c>
      <c r="X124" s="99">
        <f>B124</f>
        <v>100</v>
      </c>
      <c r="Y124" s="99">
        <f>B124</f>
        <v>100</v>
      </c>
      <c r="Z124" s="99">
        <f>B124</f>
        <v>100</v>
      </c>
      <c r="AA124" s="12" t="s">
        <v>66</v>
      </c>
      <c r="AB124" s="68" t="s">
        <v>64</v>
      </c>
    </row>
    <row r="125" spans="1:28" ht="16.5" thickBot="1">
      <c r="A125" s="59" t="s">
        <v>19</v>
      </c>
      <c r="B125" s="60"/>
      <c r="C125" s="74"/>
      <c r="D125" s="91">
        <v>35</v>
      </c>
      <c r="E125" s="119">
        <f>D125*D124/B124</f>
        <v>35</v>
      </c>
      <c r="F125" s="91">
        <v>105</v>
      </c>
      <c r="G125" s="119">
        <f>F125*F124/B124</f>
        <v>105</v>
      </c>
      <c r="H125" s="91">
        <v>150</v>
      </c>
      <c r="I125" s="119">
        <f>H125*H124/B124</f>
        <v>150</v>
      </c>
      <c r="J125" s="643">
        <f>J171/B124*1000</f>
        <v>10</v>
      </c>
      <c r="K125" s="119">
        <f>K151/B124*1000</f>
        <v>20</v>
      </c>
      <c r="L125" s="119">
        <f>L191/B124*1000</f>
        <v>150</v>
      </c>
      <c r="M125" s="119">
        <v>180</v>
      </c>
      <c r="N125" s="138">
        <v>10</v>
      </c>
      <c r="O125" s="119">
        <f>N125*N124/B124</f>
        <v>10</v>
      </c>
      <c r="P125" s="111">
        <v>60</v>
      </c>
      <c r="Q125" s="119">
        <f>P125*P124/B124</f>
        <v>60</v>
      </c>
      <c r="R125" s="119">
        <v>110</v>
      </c>
      <c r="S125" s="100">
        <v>150</v>
      </c>
      <c r="T125" s="119">
        <f>T173/B124*1000</f>
        <v>30</v>
      </c>
      <c r="U125" s="119"/>
      <c r="V125" s="119"/>
      <c r="W125" s="249">
        <v>100</v>
      </c>
      <c r="X125" s="119">
        <f>W125*F124/B124</f>
        <v>100</v>
      </c>
      <c r="Y125" s="100">
        <v>150</v>
      </c>
      <c r="Z125" s="119">
        <f>Z175/B124*1000</f>
        <v>10</v>
      </c>
      <c r="AA125" s="61"/>
      <c r="AB125" s="69"/>
    </row>
    <row r="126" spans="1:28" ht="15" customHeight="1" thickTop="1">
      <c r="A126" s="133"/>
      <c r="B126" s="5" t="s">
        <v>65</v>
      </c>
      <c r="C126" s="77" t="s">
        <v>72</v>
      </c>
      <c r="D126" s="287"/>
      <c r="E126" s="88"/>
      <c r="F126" s="92"/>
      <c r="G126" s="88"/>
      <c r="H126" s="107"/>
      <c r="I126" s="88"/>
      <c r="J126" s="608"/>
      <c r="K126" s="88"/>
      <c r="L126" s="88"/>
      <c r="M126" s="88"/>
      <c r="N126" s="264"/>
      <c r="O126" s="88"/>
      <c r="P126" s="108">
        <f>53.1/60*P125</f>
        <v>53.1</v>
      </c>
      <c r="Q126" s="129">
        <f>P126/P125*Q125</f>
        <v>53.1</v>
      </c>
      <c r="R126" s="129"/>
      <c r="S126" s="88"/>
      <c r="T126" s="88"/>
      <c r="U126" s="88"/>
      <c r="V126" s="88"/>
      <c r="W126" s="88"/>
      <c r="X126" s="88"/>
      <c r="Y126" s="88"/>
      <c r="Z126" s="88"/>
      <c r="AA126" s="78"/>
      <c r="AB126" s="79"/>
    </row>
    <row r="127" spans="1:28" ht="18" customHeight="1" thickBot="1">
      <c r="A127" s="634" t="str">
        <f>A28</f>
        <v>Печень гов. мор.</v>
      </c>
      <c r="B127" s="347">
        <f>B28</f>
        <v>267.8</v>
      </c>
      <c r="C127" s="348" t="s">
        <v>73</v>
      </c>
      <c r="D127" s="385"/>
      <c r="E127" s="350"/>
      <c r="F127" s="363"/>
      <c r="G127" s="350"/>
      <c r="H127" s="349"/>
      <c r="I127" s="350"/>
      <c r="J127" s="569"/>
      <c r="K127" s="350"/>
      <c r="L127" s="350"/>
      <c r="M127" s="350"/>
      <c r="N127" s="360"/>
      <c r="O127" s="350"/>
      <c r="P127" s="349">
        <f>P126*P124/1000</f>
        <v>5.31</v>
      </c>
      <c r="Q127" s="341">
        <f>P127</f>
        <v>5.31</v>
      </c>
      <c r="R127" s="372"/>
      <c r="S127" s="350"/>
      <c r="T127" s="350"/>
      <c r="U127" s="350"/>
      <c r="V127" s="350"/>
      <c r="W127" s="350"/>
      <c r="X127" s="350"/>
      <c r="Y127" s="350"/>
      <c r="Z127" s="350"/>
      <c r="AA127" s="343">
        <f>ROUND(E127+G127+I127+K127+L127+M127+N127+O127+Q127+S127+T127+U127+V127+X127+Y127+Z127,2)</f>
        <v>5.31</v>
      </c>
      <c r="AB127" s="368">
        <f>AA127*B127</f>
        <v>1422.018</v>
      </c>
    </row>
    <row r="128" spans="1:28" ht="13.5" customHeight="1" thickTop="1">
      <c r="A128" s="133"/>
      <c r="B128" s="121"/>
      <c r="C128" s="77" t="s">
        <v>72</v>
      </c>
      <c r="D128" s="287"/>
      <c r="E128" s="88"/>
      <c r="F128" s="90"/>
      <c r="G128" s="88"/>
      <c r="H128" s="108"/>
      <c r="I128" s="88"/>
      <c r="J128" s="608"/>
      <c r="K128" s="88"/>
      <c r="L128" s="88"/>
      <c r="M128" s="129"/>
      <c r="N128" s="108">
        <f>17.7/10*N125</f>
        <v>17.7</v>
      </c>
      <c r="O128" s="129">
        <f>N128/N125*O125</f>
        <v>17.7</v>
      </c>
      <c r="P128" s="177"/>
      <c r="Q128" s="129"/>
      <c r="R128" s="129"/>
      <c r="S128" s="88"/>
      <c r="T128" s="88"/>
      <c r="U128" s="88"/>
      <c r="V128" s="88"/>
      <c r="W128" s="88"/>
      <c r="X128" s="88"/>
      <c r="Y128" s="88"/>
      <c r="Z128" s="88"/>
      <c r="AA128" s="213"/>
      <c r="AB128" s="123"/>
    </row>
    <row r="129" spans="1:28" ht="16.5" thickBot="1">
      <c r="A129" s="346" t="str">
        <f>A30</f>
        <v>Мясо  гов.</v>
      </c>
      <c r="B129" s="347">
        <f>B30</f>
        <v>470.6</v>
      </c>
      <c r="C129" s="348" t="s">
        <v>73</v>
      </c>
      <c r="D129" s="385"/>
      <c r="E129" s="350"/>
      <c r="F129" s="363"/>
      <c r="G129" s="350"/>
      <c r="H129" s="349"/>
      <c r="I129" s="350"/>
      <c r="J129" s="569"/>
      <c r="K129" s="350"/>
      <c r="L129" s="350"/>
      <c r="M129" s="341"/>
      <c r="N129" s="349">
        <f>N128*N124/1000</f>
        <v>1.77</v>
      </c>
      <c r="O129" s="341">
        <f>N129</f>
        <v>1.77</v>
      </c>
      <c r="P129" s="349"/>
      <c r="Q129" s="350"/>
      <c r="R129" s="350"/>
      <c r="S129" s="350"/>
      <c r="T129" s="350"/>
      <c r="U129" s="350"/>
      <c r="V129" s="350"/>
      <c r="W129" s="341"/>
      <c r="X129" s="350"/>
      <c r="Y129" s="350"/>
      <c r="Z129" s="350"/>
      <c r="AA129" s="343">
        <f>ROUND(E129+G129+I129+K129+L129+M129+O129+Q129+S129+T129+U129+V129+X129+Y129+Z129,2)</f>
        <v>1.77</v>
      </c>
      <c r="AB129" s="344">
        <f>AA129*B129</f>
        <v>832.9620000000001</v>
      </c>
    </row>
    <row r="130" spans="1:28" ht="14.25" customHeight="1" thickTop="1">
      <c r="A130" s="133"/>
      <c r="B130" s="121"/>
      <c r="C130" s="77" t="s">
        <v>72</v>
      </c>
      <c r="D130" s="306">
        <v>5</v>
      </c>
      <c r="E130" s="129">
        <f>D130/D125*E125</f>
        <v>5</v>
      </c>
      <c r="F130" s="90">
        <v>3</v>
      </c>
      <c r="G130" s="129">
        <f>F130/F125*G125</f>
        <v>3</v>
      </c>
      <c r="H130" s="108"/>
      <c r="I130" s="88"/>
      <c r="J130" s="608"/>
      <c r="K130" s="88"/>
      <c r="L130" s="88"/>
      <c r="M130" s="88"/>
      <c r="N130" s="264"/>
      <c r="O130" s="131"/>
      <c r="P130" s="108">
        <f>0.6/60*P125</f>
        <v>0.6</v>
      </c>
      <c r="Q130" s="129">
        <f>P130/P125*Q125</f>
        <v>0.6</v>
      </c>
      <c r="R130" s="131">
        <v>3.9</v>
      </c>
      <c r="S130" s="88"/>
      <c r="T130" s="88"/>
      <c r="U130" s="88"/>
      <c r="V130" s="131"/>
      <c r="W130" s="113"/>
      <c r="X130" s="129"/>
      <c r="Y130" s="88"/>
      <c r="Z130" s="88"/>
      <c r="AA130" s="214"/>
      <c r="AB130" s="123"/>
    </row>
    <row r="131" spans="1:28" ht="16.5" thickBot="1">
      <c r="A131" s="346" t="str">
        <f>A32</f>
        <v>Масло слив.</v>
      </c>
      <c r="B131" s="347">
        <f>B32</f>
        <v>595</v>
      </c>
      <c r="C131" s="348" t="s">
        <v>73</v>
      </c>
      <c r="D131" s="501">
        <f>ROUND(D130*F124/1000,2)</f>
        <v>0.5</v>
      </c>
      <c r="E131" s="341">
        <f>D131</f>
        <v>0.5</v>
      </c>
      <c r="F131" s="363">
        <f>F130*F124/1000</f>
        <v>0.3</v>
      </c>
      <c r="G131" s="341">
        <f>ROUND(F131,2)</f>
        <v>0.3</v>
      </c>
      <c r="H131" s="349"/>
      <c r="I131" s="350"/>
      <c r="J131" s="569"/>
      <c r="K131" s="350"/>
      <c r="L131" s="350"/>
      <c r="M131" s="350"/>
      <c r="N131" s="361"/>
      <c r="O131" s="350"/>
      <c r="P131" s="349">
        <f>P130*P124/1000</f>
        <v>0.06</v>
      </c>
      <c r="Q131" s="341">
        <f>ROUND(P131,2)</f>
        <v>0.06</v>
      </c>
      <c r="R131" s="341">
        <f>ROUND(R130*B124/1000,2)</f>
        <v>0.39</v>
      </c>
      <c r="S131" s="350"/>
      <c r="T131" s="350"/>
      <c r="U131" s="350"/>
      <c r="V131" s="341">
        <f>ROUND(V130*B124/1000,2)</f>
        <v>0</v>
      </c>
      <c r="W131" s="378"/>
      <c r="X131" s="350"/>
      <c r="Y131" s="350"/>
      <c r="Z131" s="350"/>
      <c r="AA131" s="343">
        <f>ROUND(E131+G131+I131+K131+L131+M131+N131+O131+Q131+R131+S131+T131+U131+V131+X131+Y131+Z131,2)</f>
        <v>1.25</v>
      </c>
      <c r="AB131" s="344">
        <f>AA131*B131</f>
        <v>743.75</v>
      </c>
    </row>
    <row r="132" spans="1:28" ht="14.25" customHeight="1" thickTop="1">
      <c r="A132" s="133"/>
      <c r="B132" s="121"/>
      <c r="C132" s="77" t="s">
        <v>72</v>
      </c>
      <c r="D132" s="287"/>
      <c r="E132" s="88"/>
      <c r="F132" s="90"/>
      <c r="G132" s="88"/>
      <c r="H132" s="108"/>
      <c r="I132" s="88"/>
      <c r="J132" s="608"/>
      <c r="K132" s="88"/>
      <c r="L132" s="130"/>
      <c r="M132" s="130">
        <v>3.6</v>
      </c>
      <c r="N132" s="263"/>
      <c r="O132" s="131"/>
      <c r="P132" s="177"/>
      <c r="Q132" s="129"/>
      <c r="R132" s="129"/>
      <c r="S132" s="88"/>
      <c r="T132" s="88"/>
      <c r="U132" s="88"/>
      <c r="V132" s="131"/>
      <c r="W132" s="113">
        <f>5/100*W125</f>
        <v>5</v>
      </c>
      <c r="X132" s="129">
        <f>W132/W125*X125</f>
        <v>5</v>
      </c>
      <c r="Y132" s="88"/>
      <c r="Z132" s="88"/>
      <c r="AA132" s="214"/>
      <c r="AB132" s="216"/>
    </row>
    <row r="133" spans="1:28" ht="16.5" thickBot="1">
      <c r="A133" s="346" t="str">
        <f>A34</f>
        <v>Масло раст.</v>
      </c>
      <c r="B133" s="347">
        <f>B34</f>
        <v>104.42</v>
      </c>
      <c r="C133" s="348" t="s">
        <v>73</v>
      </c>
      <c r="D133" s="385"/>
      <c r="E133" s="350"/>
      <c r="F133" s="363"/>
      <c r="G133" s="350"/>
      <c r="H133" s="349"/>
      <c r="I133" s="350"/>
      <c r="J133" s="569"/>
      <c r="K133" s="350"/>
      <c r="L133" s="339"/>
      <c r="M133" s="339">
        <f>M132*B124/1000</f>
        <v>0.36</v>
      </c>
      <c r="N133" s="360"/>
      <c r="O133" s="341"/>
      <c r="P133" s="349"/>
      <c r="Q133" s="350"/>
      <c r="R133" s="350"/>
      <c r="S133" s="350"/>
      <c r="T133" s="350"/>
      <c r="U133" s="350"/>
      <c r="V133" s="339">
        <f>V132*B124/1000</f>
        <v>0</v>
      </c>
      <c r="W133" s="378">
        <f>W132*F124/1000</f>
        <v>0.5</v>
      </c>
      <c r="X133" s="341">
        <f>ROUND(W133,2)</f>
        <v>0.5</v>
      </c>
      <c r="Y133" s="350"/>
      <c r="Z133" s="350"/>
      <c r="AA133" s="343">
        <f>ROUND(E133+G133+I133+K133+L133+M133+N133+O133+Q133+S133+T133+U133+V133+X133+Y133+Z133,2)</f>
        <v>0.86</v>
      </c>
      <c r="AB133" s="344">
        <f>AA133*B133</f>
        <v>89.801199999999994</v>
      </c>
    </row>
    <row r="134" spans="1:28" ht="13.5" customHeight="1" thickTop="1">
      <c r="A134" s="133"/>
      <c r="B134" s="121"/>
      <c r="C134" s="77" t="s">
        <v>72</v>
      </c>
      <c r="D134" s="305"/>
      <c r="E134" s="88"/>
      <c r="F134" s="90"/>
      <c r="G134" s="113"/>
      <c r="H134" s="108">
        <v>92</v>
      </c>
      <c r="I134" s="113">
        <f>H134/H125*I125</f>
        <v>92</v>
      </c>
      <c r="J134" s="608"/>
      <c r="K134" s="88"/>
      <c r="L134" s="88"/>
      <c r="M134" s="88"/>
      <c r="N134" s="263"/>
      <c r="O134" s="88"/>
      <c r="P134" s="177"/>
      <c r="Q134" s="129"/>
      <c r="R134" s="129"/>
      <c r="S134" s="88"/>
      <c r="T134" s="88"/>
      <c r="U134" s="88"/>
      <c r="V134" s="131"/>
      <c r="W134" s="113"/>
      <c r="X134" s="113"/>
      <c r="Y134" s="131"/>
      <c r="Z134" s="88"/>
      <c r="AA134" s="214"/>
      <c r="AB134" s="216"/>
    </row>
    <row r="135" spans="1:28" ht="16.5" thickBot="1">
      <c r="A135" s="346" t="str">
        <f>A36</f>
        <v>Молоко св.</v>
      </c>
      <c r="B135" s="347">
        <f>B36</f>
        <v>67.8</v>
      </c>
      <c r="C135" s="348" t="s">
        <v>73</v>
      </c>
      <c r="D135" s="385"/>
      <c r="E135" s="350"/>
      <c r="F135" s="384"/>
      <c r="G135" s="365"/>
      <c r="H135" s="349">
        <f>H134*H124/1000</f>
        <v>9.1999999999999993</v>
      </c>
      <c r="I135" s="365">
        <f>H135</f>
        <v>9.1999999999999993</v>
      </c>
      <c r="J135" s="569"/>
      <c r="K135" s="350"/>
      <c r="L135" s="350"/>
      <c r="M135" s="350"/>
      <c r="N135" s="360"/>
      <c r="O135" s="350"/>
      <c r="P135" s="349"/>
      <c r="Q135" s="350"/>
      <c r="R135" s="350"/>
      <c r="S135" s="350"/>
      <c r="T135" s="350"/>
      <c r="U135" s="350"/>
      <c r="V135" s="365">
        <f>V134*B124/1000</f>
        <v>0</v>
      </c>
      <c r="W135" s="378"/>
      <c r="X135" s="422"/>
      <c r="Y135" s="350"/>
      <c r="Z135" s="350"/>
      <c r="AA135" s="356">
        <f>ROUND(E135+G135+I135+K135+L135+M135+N135+O135+Q135+S135+T135+U135+V135+X135+Y135+Z135,2)</f>
        <v>9.1999999999999993</v>
      </c>
      <c r="AB135" s="344">
        <f>AA135*B135</f>
        <v>623.75999999999988</v>
      </c>
    </row>
    <row r="136" spans="1:28" ht="14.25" customHeight="1" thickTop="1">
      <c r="A136" s="133"/>
      <c r="B136" s="121"/>
      <c r="C136" s="77" t="s">
        <v>72</v>
      </c>
      <c r="D136" s="287"/>
      <c r="E136" s="88"/>
      <c r="F136" s="90"/>
      <c r="G136" s="113"/>
      <c r="H136" s="108"/>
      <c r="I136" s="88"/>
      <c r="J136" s="608"/>
      <c r="K136" s="88"/>
      <c r="L136" s="88"/>
      <c r="M136" s="88"/>
      <c r="N136" s="263"/>
      <c r="O136" s="129"/>
      <c r="P136" s="430"/>
      <c r="Q136" s="129"/>
      <c r="R136" s="129"/>
      <c r="S136" s="88"/>
      <c r="T136" s="88"/>
      <c r="U136" s="88"/>
      <c r="V136" s="113"/>
      <c r="W136" s="113">
        <f>56.4/100*W125</f>
        <v>56.399999999999991</v>
      </c>
      <c r="X136" s="113">
        <f>W136/W125*X125</f>
        <v>56.399999999999991</v>
      </c>
      <c r="Y136" s="88"/>
      <c r="Z136" s="88"/>
      <c r="AA136" s="214"/>
      <c r="AB136" s="216"/>
    </row>
    <row r="137" spans="1:28" ht="16.5" customHeight="1" thickBot="1">
      <c r="A137" s="634" t="str">
        <f>A38</f>
        <v>Минтай с/м потр.</v>
      </c>
      <c r="B137" s="347">
        <f>B38</f>
        <v>137.69999999999999</v>
      </c>
      <c r="C137" s="348" t="s">
        <v>73</v>
      </c>
      <c r="D137" s="385"/>
      <c r="E137" s="350"/>
      <c r="F137" s="363"/>
      <c r="G137" s="350"/>
      <c r="H137" s="349"/>
      <c r="I137" s="350"/>
      <c r="J137" s="569"/>
      <c r="K137" s="350"/>
      <c r="L137" s="350"/>
      <c r="M137" s="350"/>
      <c r="N137" s="360"/>
      <c r="O137" s="341"/>
      <c r="P137" s="363"/>
      <c r="Q137" s="404"/>
      <c r="R137" s="404"/>
      <c r="S137" s="350"/>
      <c r="T137" s="350"/>
      <c r="U137" s="350"/>
      <c r="V137" s="341"/>
      <c r="W137" s="378">
        <f>W136*F124/1000</f>
        <v>5.6399999999999988</v>
      </c>
      <c r="X137" s="341">
        <f>W137</f>
        <v>5.6399999999999988</v>
      </c>
      <c r="Y137" s="350"/>
      <c r="Z137" s="350"/>
      <c r="AA137" s="343">
        <f>ROUND(E137+G137+I137+K137+L137+M137+N137+O137+Q137+S137+T137+U137+V137+X137+Y137+Z137,2)</f>
        <v>5.64</v>
      </c>
      <c r="AB137" s="344">
        <f>AA137*B137</f>
        <v>776.62799999999993</v>
      </c>
    </row>
    <row r="138" spans="1:28" ht="14.25" customHeight="1" thickTop="1">
      <c r="A138" s="133"/>
      <c r="B138" s="121"/>
      <c r="C138" s="77" t="s">
        <v>72</v>
      </c>
      <c r="D138" s="287"/>
      <c r="E138" s="88"/>
      <c r="F138" s="90"/>
      <c r="G138" s="113"/>
      <c r="H138" s="108"/>
      <c r="I138" s="88"/>
      <c r="J138" s="608"/>
      <c r="K138" s="88"/>
      <c r="L138" s="88"/>
      <c r="M138" s="88"/>
      <c r="N138" s="263"/>
      <c r="O138" s="88"/>
      <c r="P138" s="108">
        <f>6.75/60*P125</f>
        <v>6.75</v>
      </c>
      <c r="Q138" s="129">
        <f>P138/P125*Q125</f>
        <v>6.75</v>
      </c>
      <c r="R138" s="129"/>
      <c r="S138" s="88"/>
      <c r="T138" s="88"/>
      <c r="U138" s="88"/>
      <c r="V138" s="88"/>
      <c r="W138" s="113"/>
      <c r="X138" s="129"/>
      <c r="Y138" s="88"/>
      <c r="Z138" s="88"/>
      <c r="AA138" s="214"/>
      <c r="AB138" s="216"/>
    </row>
    <row r="139" spans="1:28" ht="16.5" thickBot="1">
      <c r="A139" s="346" t="str">
        <f>A40</f>
        <v>Сметана</v>
      </c>
      <c r="B139" s="347">
        <f>B40</f>
        <v>227</v>
      </c>
      <c r="C139" s="348" t="s">
        <v>73</v>
      </c>
      <c r="D139" s="385"/>
      <c r="E139" s="350"/>
      <c r="F139" s="363"/>
      <c r="G139" s="350"/>
      <c r="H139" s="349"/>
      <c r="I139" s="350"/>
      <c r="J139" s="569"/>
      <c r="K139" s="350"/>
      <c r="L139" s="350"/>
      <c r="M139" s="350"/>
      <c r="N139" s="360"/>
      <c r="O139" s="350"/>
      <c r="P139" s="363">
        <f>P138*P124/1000</f>
        <v>0.67500000000000004</v>
      </c>
      <c r="Q139" s="341">
        <f>P139</f>
        <v>0.67500000000000004</v>
      </c>
      <c r="R139" s="350"/>
      <c r="S139" s="350"/>
      <c r="T139" s="350"/>
      <c r="U139" s="350"/>
      <c r="V139" s="350"/>
      <c r="W139" s="378"/>
      <c r="X139" s="350"/>
      <c r="Y139" s="350"/>
      <c r="Z139" s="350"/>
      <c r="AA139" s="343">
        <f>ROUND(E139+G139+I139+K139+L139+M139+N139+O139+Q139+S139+T139+U139+V139+X139+Y139+Z139,2)</f>
        <v>0.68</v>
      </c>
      <c r="AB139" s="344">
        <f>AA139*B139</f>
        <v>154.36000000000001</v>
      </c>
    </row>
    <row r="140" spans="1:28" ht="14.25" customHeight="1" thickTop="1">
      <c r="A140" s="133"/>
      <c r="B140" s="121"/>
      <c r="C140" s="77" t="s">
        <v>72</v>
      </c>
      <c r="D140" s="287"/>
      <c r="E140" s="88"/>
      <c r="F140" s="90"/>
      <c r="G140" s="113"/>
      <c r="H140" s="108"/>
      <c r="I140" s="88"/>
      <c r="J140" s="608"/>
      <c r="K140" s="88"/>
      <c r="L140" s="88"/>
      <c r="M140" s="88"/>
      <c r="N140" s="263"/>
      <c r="O140" s="131"/>
      <c r="P140" s="108">
        <f>2/60*P125</f>
        <v>2</v>
      </c>
      <c r="Q140" s="129">
        <f>P140/P125*Q125</f>
        <v>2</v>
      </c>
      <c r="R140" s="129"/>
      <c r="S140" s="88"/>
      <c r="T140" s="88"/>
      <c r="U140" s="88"/>
      <c r="V140" s="131"/>
      <c r="W140" s="113"/>
      <c r="X140" s="129"/>
      <c r="Y140" s="88"/>
      <c r="Z140" s="88"/>
      <c r="AA140" s="214"/>
      <c r="AB140" s="123"/>
    </row>
    <row r="141" spans="1:28" ht="16.5" thickBot="1">
      <c r="A141" s="346" t="str">
        <f>A42</f>
        <v>Мука пшен.</v>
      </c>
      <c r="B141" s="347">
        <f>B42</f>
        <v>29.08</v>
      </c>
      <c r="C141" s="348" t="s">
        <v>73</v>
      </c>
      <c r="D141" s="385"/>
      <c r="E141" s="350"/>
      <c r="F141" s="363"/>
      <c r="G141" s="350"/>
      <c r="H141" s="349"/>
      <c r="I141" s="350"/>
      <c r="J141" s="569"/>
      <c r="K141" s="350"/>
      <c r="L141" s="350"/>
      <c r="M141" s="350"/>
      <c r="N141" s="360"/>
      <c r="O141" s="341"/>
      <c r="P141" s="363">
        <f>P140*P124/1000</f>
        <v>0.2</v>
      </c>
      <c r="Q141" s="341">
        <f>P141</f>
        <v>0.2</v>
      </c>
      <c r="R141" s="350"/>
      <c r="S141" s="350"/>
      <c r="T141" s="350"/>
      <c r="U141" s="350"/>
      <c r="V141" s="339">
        <f>V140*B124/1000</f>
        <v>0</v>
      </c>
      <c r="W141" s="378"/>
      <c r="X141" s="341"/>
      <c r="Y141" s="350"/>
      <c r="Z141" s="350"/>
      <c r="AA141" s="343">
        <f>ROUND(E141+G141+I141+K141+L141+M141+N141+O141+Q141+S141+T141+U141+V141+X141+Y141+Z141,2)</f>
        <v>0.2</v>
      </c>
      <c r="AB141" s="344">
        <f>AA141*B141</f>
        <v>5.8159999999999998</v>
      </c>
    </row>
    <row r="142" spans="1:28" ht="14.25" customHeight="1" thickTop="1">
      <c r="A142" s="133"/>
      <c r="B142" s="121"/>
      <c r="C142" s="77" t="s">
        <v>72</v>
      </c>
      <c r="D142" s="497"/>
      <c r="E142" s="129"/>
      <c r="F142" s="90"/>
      <c r="G142" s="129"/>
      <c r="H142" s="108"/>
      <c r="I142" s="88"/>
      <c r="J142" s="608"/>
      <c r="K142" s="88"/>
      <c r="L142" s="88"/>
      <c r="M142" s="88"/>
      <c r="N142" s="113"/>
      <c r="O142" s="129"/>
      <c r="P142" s="108"/>
      <c r="Q142" s="129"/>
      <c r="R142" s="129"/>
      <c r="S142" s="88"/>
      <c r="T142" s="88"/>
      <c r="U142" s="88"/>
      <c r="V142" s="131"/>
      <c r="W142" s="113">
        <f>4.2/100*W125</f>
        <v>4.2</v>
      </c>
      <c r="X142" s="129">
        <f>W142/W137*X137</f>
        <v>4.2</v>
      </c>
      <c r="Y142" s="88"/>
      <c r="Z142" s="88"/>
      <c r="AA142" s="214"/>
      <c r="AB142" s="216"/>
    </row>
    <row r="143" spans="1:28" ht="16.5" thickBot="1">
      <c r="A143" s="346" t="str">
        <f>A44</f>
        <v>Яйцо диет.</v>
      </c>
      <c r="B143" s="347">
        <f>B44</f>
        <v>10</v>
      </c>
      <c r="C143" s="348" t="s">
        <v>74</v>
      </c>
      <c r="D143" s="363"/>
      <c r="E143" s="341"/>
      <c r="F143" s="363"/>
      <c r="G143" s="350"/>
      <c r="H143" s="349"/>
      <c r="I143" s="350"/>
      <c r="J143" s="569"/>
      <c r="K143" s="350"/>
      <c r="L143" s="350"/>
      <c r="M143" s="350"/>
      <c r="N143" s="530"/>
      <c r="O143" s="470"/>
      <c r="P143" s="349"/>
      <c r="Q143" s="350"/>
      <c r="R143" s="350"/>
      <c r="S143" s="350"/>
      <c r="T143" s="350"/>
      <c r="U143" s="350"/>
      <c r="V143" s="470">
        <f>ROUND(V142*B124/1000/0.048,0)</f>
        <v>0</v>
      </c>
      <c r="W143" s="530">
        <f>ROUND(W142*F124/48,0)</f>
        <v>9</v>
      </c>
      <c r="X143" s="470">
        <f>ROUND(W143,0)</f>
        <v>9</v>
      </c>
      <c r="Y143" s="350"/>
      <c r="Z143" s="350"/>
      <c r="AA143" s="472">
        <f>ROUND(E143+G143+I143+K143+L143+M143+O143+Q143+S143+T143+U143+V143+X143+Y143+Z143,0)</f>
        <v>9</v>
      </c>
      <c r="AB143" s="344">
        <f>AA143*B143</f>
        <v>90</v>
      </c>
    </row>
    <row r="144" spans="1:28" ht="14.25" customHeight="1" thickTop="1">
      <c r="A144" s="133"/>
      <c r="B144" s="121"/>
      <c r="C144" s="77" t="s">
        <v>72</v>
      </c>
      <c r="D144" s="287"/>
      <c r="E144" s="88"/>
      <c r="F144" s="90">
        <v>35</v>
      </c>
      <c r="G144" s="129">
        <f>F144/F125*G125</f>
        <v>35</v>
      </c>
      <c r="H144" s="108"/>
      <c r="I144" s="88"/>
      <c r="J144" s="608"/>
      <c r="K144" s="88"/>
      <c r="L144" s="88"/>
      <c r="M144" s="88"/>
      <c r="N144" s="263"/>
      <c r="O144" s="88"/>
      <c r="P144" s="10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214"/>
      <c r="AB144" s="123"/>
    </row>
    <row r="145" spans="1:28" ht="16.5" thickBot="1">
      <c r="A145" s="346" t="str">
        <f>A46</f>
        <v>Макар. изд.</v>
      </c>
      <c r="B145" s="347">
        <f>B46</f>
        <v>42.1</v>
      </c>
      <c r="C145" s="348" t="s">
        <v>73</v>
      </c>
      <c r="D145" s="385"/>
      <c r="E145" s="350"/>
      <c r="F145" s="363">
        <f>F144*F124/1000</f>
        <v>3.5</v>
      </c>
      <c r="G145" s="341">
        <f>F145</f>
        <v>3.5</v>
      </c>
      <c r="H145" s="349"/>
      <c r="I145" s="350"/>
      <c r="J145" s="569"/>
      <c r="K145" s="350"/>
      <c r="L145" s="350"/>
      <c r="M145" s="350"/>
      <c r="N145" s="360"/>
      <c r="O145" s="350"/>
      <c r="P145" s="349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43">
        <f>ROUND(E145+G145+I145+K145+L145+M145+N145+O145+Q145+S145+T145+U145+V145+X145+Y145+Z145,2)</f>
        <v>3.5</v>
      </c>
      <c r="AB145" s="344">
        <f>AA145*B145</f>
        <v>147.35</v>
      </c>
    </row>
    <row r="146" spans="1:28" ht="14.25" customHeight="1" thickTop="1">
      <c r="A146" s="133"/>
      <c r="B146" s="121"/>
      <c r="C146" s="77" t="s">
        <v>72</v>
      </c>
      <c r="D146" s="287"/>
      <c r="E146" s="88"/>
      <c r="F146" s="90">
        <v>2</v>
      </c>
      <c r="G146" s="113">
        <f>F146/F125*G125</f>
        <v>2</v>
      </c>
      <c r="H146" s="108">
        <v>6</v>
      </c>
      <c r="I146" s="113">
        <f>H146/H125*I125</f>
        <v>6</v>
      </c>
      <c r="J146" s="608"/>
      <c r="K146" s="88"/>
      <c r="L146" s="130"/>
      <c r="M146" s="88"/>
      <c r="N146" s="264"/>
      <c r="O146" s="131"/>
      <c r="P146" s="108"/>
      <c r="Q146" s="88"/>
      <c r="R146" s="88"/>
      <c r="S146" s="131">
        <v>6</v>
      </c>
      <c r="T146" s="88"/>
      <c r="U146" s="88"/>
      <c r="V146" s="131"/>
      <c r="W146" s="131"/>
      <c r="X146" s="131"/>
      <c r="Y146" s="131">
        <v>6</v>
      </c>
      <c r="Z146" s="88"/>
      <c r="AA146" s="214"/>
      <c r="AB146" s="216"/>
    </row>
    <row r="147" spans="1:28" ht="16.5" thickBot="1">
      <c r="A147" s="346" t="str">
        <f>A48</f>
        <v>Сахар</v>
      </c>
      <c r="B147" s="347">
        <f>B48</f>
        <v>62.77</v>
      </c>
      <c r="C147" s="348" t="s">
        <v>73</v>
      </c>
      <c r="D147" s="385"/>
      <c r="E147" s="350"/>
      <c r="F147" s="363">
        <f>F146*F124/1000</f>
        <v>0.2</v>
      </c>
      <c r="G147" s="341">
        <f>F147</f>
        <v>0.2</v>
      </c>
      <c r="H147" s="349">
        <f>H146*H124/1000</f>
        <v>0.6</v>
      </c>
      <c r="I147" s="341">
        <f>ROUND(H147,2)</f>
        <v>0.6</v>
      </c>
      <c r="J147" s="569"/>
      <c r="K147" s="350"/>
      <c r="L147" s="339"/>
      <c r="M147" s="350"/>
      <c r="N147" s="360"/>
      <c r="O147" s="341"/>
      <c r="P147" s="349"/>
      <c r="Q147" s="350"/>
      <c r="R147" s="350"/>
      <c r="S147" s="341">
        <f>ROUND(S146*B124/1000,2)</f>
        <v>0.6</v>
      </c>
      <c r="T147" s="350"/>
      <c r="U147" s="350"/>
      <c r="V147" s="341">
        <f>V146*B124/1000</f>
        <v>0</v>
      </c>
      <c r="W147" s="341"/>
      <c r="X147" s="350"/>
      <c r="Y147" s="341">
        <f>ROUND(Y146*B124/1000,2)</f>
        <v>0.6</v>
      </c>
      <c r="Z147" s="350"/>
      <c r="AA147" s="343">
        <f>ROUND(E147+G147+I147+K147+L147+M147+N147+O147+Q147+S147+T147+U147+V147+X147+Y147+Z147,2)</f>
        <v>2</v>
      </c>
      <c r="AB147" s="344">
        <f>AA147*B147</f>
        <v>125.54</v>
      </c>
    </row>
    <row r="148" spans="1:28" ht="15" customHeight="1" thickTop="1">
      <c r="A148" s="133"/>
      <c r="B148" s="121"/>
      <c r="C148" s="77" t="s">
        <v>72</v>
      </c>
      <c r="D148" s="287"/>
      <c r="E148" s="88"/>
      <c r="F148" s="90"/>
      <c r="G148" s="88"/>
      <c r="H148" s="108"/>
      <c r="I148" s="88"/>
      <c r="J148" s="608"/>
      <c r="K148" s="88"/>
      <c r="L148" s="88"/>
      <c r="M148" s="88"/>
      <c r="N148" s="263"/>
      <c r="O148" s="88"/>
      <c r="P148" s="108"/>
      <c r="Q148" s="88"/>
      <c r="R148" s="88"/>
      <c r="S148" s="131">
        <v>15</v>
      </c>
      <c r="T148" s="88"/>
      <c r="U148" s="88"/>
      <c r="V148" s="88"/>
      <c r="W148" s="88"/>
      <c r="X148" s="88"/>
      <c r="Y148" s="88"/>
      <c r="Z148" s="88"/>
      <c r="AA148" s="214"/>
      <c r="AB148" s="123"/>
    </row>
    <row r="149" spans="1:28" ht="16.5" thickBot="1">
      <c r="A149" s="346" t="str">
        <f>A50</f>
        <v>Шиповник</v>
      </c>
      <c r="B149" s="347">
        <f>B50</f>
        <v>320</v>
      </c>
      <c r="C149" s="348" t="s">
        <v>73</v>
      </c>
      <c r="D149" s="385"/>
      <c r="E149" s="350"/>
      <c r="F149" s="363"/>
      <c r="G149" s="350"/>
      <c r="H149" s="349"/>
      <c r="I149" s="350"/>
      <c r="J149" s="569"/>
      <c r="K149" s="350"/>
      <c r="L149" s="350"/>
      <c r="M149" s="350"/>
      <c r="N149" s="360"/>
      <c r="O149" s="350"/>
      <c r="P149" s="349"/>
      <c r="Q149" s="350"/>
      <c r="R149" s="350"/>
      <c r="S149" s="341">
        <f>S148*B124/1000</f>
        <v>1.5</v>
      </c>
      <c r="T149" s="350"/>
      <c r="U149" s="350"/>
      <c r="V149" s="350"/>
      <c r="W149" s="350"/>
      <c r="X149" s="350"/>
      <c r="Y149" s="350"/>
      <c r="Z149" s="350"/>
      <c r="AA149" s="343">
        <f>ROUND(E149+G149+I149+K149+L149+M149+N149+O149+Q149+S149+T149+U149+V149+X149+Y149+Z149,2)</f>
        <v>1.5</v>
      </c>
      <c r="AB149" s="344">
        <f>AA149*B149</f>
        <v>480</v>
      </c>
    </row>
    <row r="150" spans="1:28" ht="15.75" thickTop="1">
      <c r="A150" s="133"/>
      <c r="B150" s="102"/>
      <c r="C150" s="77" t="s">
        <v>72</v>
      </c>
      <c r="D150" s="287"/>
      <c r="E150" s="104"/>
      <c r="F150" s="103"/>
      <c r="G150" s="113"/>
      <c r="H150" s="108"/>
      <c r="I150" s="104"/>
      <c r="J150" s="608"/>
      <c r="K150" s="137">
        <f>K151/B124*1000</f>
        <v>20</v>
      </c>
      <c r="L150" s="184"/>
      <c r="M150" s="104"/>
      <c r="N150" s="265"/>
      <c r="O150" s="104"/>
      <c r="P150" s="108"/>
      <c r="Q150" s="104"/>
      <c r="R150" s="104"/>
      <c r="S150" s="104"/>
      <c r="T150" s="104"/>
      <c r="U150" s="104"/>
      <c r="V150" s="184"/>
      <c r="W150" s="104"/>
      <c r="X150" s="104"/>
      <c r="Y150" s="104"/>
      <c r="Z150" s="104"/>
      <c r="AA150" s="213"/>
      <c r="AB150" s="123"/>
    </row>
    <row r="151" spans="1:28" ht="16.5" thickBot="1">
      <c r="A151" s="346" t="str">
        <f>A52</f>
        <v>Печ., вафли</v>
      </c>
      <c r="B151" s="347">
        <f>B52</f>
        <v>210</v>
      </c>
      <c r="C151" s="348" t="s">
        <v>73</v>
      </c>
      <c r="D151" s="385"/>
      <c r="E151" s="350"/>
      <c r="F151" s="363"/>
      <c r="G151" s="350"/>
      <c r="H151" s="349"/>
      <c r="I151" s="350"/>
      <c r="J151" s="569"/>
      <c r="K151" s="341">
        <v>2</v>
      </c>
      <c r="L151" s="341"/>
      <c r="M151" s="350"/>
      <c r="N151" s="360"/>
      <c r="O151" s="350"/>
      <c r="P151" s="349"/>
      <c r="Q151" s="350"/>
      <c r="R151" s="350"/>
      <c r="S151" s="350"/>
      <c r="T151" s="350"/>
      <c r="U151" s="350"/>
      <c r="V151" s="341"/>
      <c r="W151" s="350"/>
      <c r="X151" s="350"/>
      <c r="Y151" s="350"/>
      <c r="Z151" s="350"/>
      <c r="AA151" s="343">
        <f>ROUND(E151+G151+I151+K151+L151+M151+N151+O151+Q151+S151+T151+V151+X151+Y151+Z151,2)</f>
        <v>2</v>
      </c>
      <c r="AB151" s="344">
        <f>AA151*B151</f>
        <v>420</v>
      </c>
    </row>
    <row r="152" spans="1:28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18" t="s">
        <v>71</v>
      </c>
    </row>
    <row r="153" spans="1:28">
      <c r="A153" s="26" t="s">
        <v>53</v>
      </c>
      <c r="B153" s="20"/>
      <c r="C153" s="65"/>
      <c r="D153" s="65"/>
      <c r="E153" s="14"/>
      <c r="F153" s="14"/>
      <c r="G153" s="14"/>
      <c r="H153" s="14"/>
      <c r="I153" s="14"/>
      <c r="J153" s="14"/>
      <c r="K153" s="14"/>
      <c r="L153" s="14"/>
      <c r="M153" s="14"/>
      <c r="N153" s="28" t="s">
        <v>41</v>
      </c>
      <c r="O153" s="14"/>
      <c r="P153" s="14"/>
      <c r="Q153" s="14"/>
      <c r="R153" s="14"/>
      <c r="S153" s="28" t="s">
        <v>11</v>
      </c>
      <c r="T153" s="28"/>
      <c r="U153" s="28"/>
      <c r="V153" s="14"/>
      <c r="W153" s="14"/>
      <c r="X153" s="14"/>
      <c r="Y153" s="14"/>
      <c r="Z153" s="22"/>
      <c r="AA153" s="1047" t="s">
        <v>8</v>
      </c>
      <c r="AB153" s="1048"/>
    </row>
    <row r="154" spans="1:28" ht="12.75" customHeight="1">
      <c r="A154" s="208"/>
      <c r="B154" s="19"/>
      <c r="C154" s="5" t="s">
        <v>52</v>
      </c>
      <c r="D154" s="484"/>
      <c r="E154" s="1052"/>
      <c r="F154" s="1052"/>
      <c r="G154" s="1052"/>
      <c r="H154" s="1052"/>
      <c r="I154" s="1052"/>
      <c r="J154" s="1052"/>
      <c r="K154" s="1053"/>
      <c r="L154" s="203" t="s">
        <v>69</v>
      </c>
      <c r="M154" s="1056" t="s">
        <v>16</v>
      </c>
      <c r="N154" s="1052"/>
      <c r="O154" s="1052"/>
      <c r="P154" s="1052"/>
      <c r="Q154" s="1052"/>
      <c r="R154" s="1052"/>
      <c r="S154" s="1052"/>
      <c r="T154" s="1053"/>
      <c r="U154" s="606"/>
      <c r="V154" s="1056" t="s">
        <v>17</v>
      </c>
      <c r="W154" s="1052"/>
      <c r="X154" s="1052"/>
      <c r="Y154" s="1052"/>
      <c r="Z154" s="1052"/>
      <c r="AA154" s="1058" t="s">
        <v>3</v>
      </c>
      <c r="AB154" s="1059"/>
    </row>
    <row r="155" spans="1:28">
      <c r="A155" s="207"/>
      <c r="B155" s="5"/>
      <c r="C155" s="5" t="s">
        <v>51</v>
      </c>
      <c r="D155" s="485"/>
      <c r="E155" s="1054"/>
      <c r="F155" s="1054"/>
      <c r="G155" s="1054"/>
      <c r="H155" s="1054"/>
      <c r="I155" s="1054"/>
      <c r="J155" s="1054"/>
      <c r="K155" s="1055"/>
      <c r="L155" s="204"/>
      <c r="M155" s="1057"/>
      <c r="N155" s="1054"/>
      <c r="O155" s="1054"/>
      <c r="P155" s="1054"/>
      <c r="Q155" s="1054"/>
      <c r="R155" s="1054"/>
      <c r="S155" s="1054"/>
      <c r="T155" s="1055"/>
      <c r="U155" s="607"/>
      <c r="V155" s="1057"/>
      <c r="W155" s="1054"/>
      <c r="X155" s="1054"/>
      <c r="Y155" s="1054"/>
      <c r="Z155" s="1054"/>
      <c r="AA155" s="1047" t="s">
        <v>36</v>
      </c>
      <c r="AB155" s="1048"/>
    </row>
    <row r="156" spans="1:28" ht="12.75" customHeight="1">
      <c r="A156" s="207" t="s">
        <v>54</v>
      </c>
      <c r="B156" s="5" t="s">
        <v>65</v>
      </c>
      <c r="C156" s="5" t="s">
        <v>9</v>
      </c>
      <c r="D156" s="1236" t="str">
        <f>D120</f>
        <v>Бутерб. с сыром</v>
      </c>
      <c r="E156" s="1038" t="str">
        <f>E120</f>
        <v>и масл. сл. 10/ 5 \ 20</v>
      </c>
      <c r="F156" s="1041" t="str">
        <f>F120</f>
        <v>Макар, отварные</v>
      </c>
      <c r="G156" s="1038"/>
      <c r="H156" s="1041" t="str">
        <f>H120</f>
        <v>Какао с мол.</v>
      </c>
      <c r="I156" s="1038"/>
      <c r="J156" s="1070" t="str">
        <f>J122</f>
        <v>Батон витаминиз.</v>
      </c>
      <c r="K156" s="1070">
        <f>K122</f>
        <v>0</v>
      </c>
      <c r="L156" s="1070">
        <f>L122</f>
        <v>0</v>
      </c>
      <c r="M156" s="1041" t="str">
        <f>M120</f>
        <v>Суп картоф. с горохом</v>
      </c>
      <c r="N156" s="1041" t="str">
        <f>N120</f>
        <v>Мясо в суп</v>
      </c>
      <c r="O156" s="1038">
        <f>O120</f>
        <v>0</v>
      </c>
      <c r="P156" s="1041" t="str">
        <f>P120</f>
        <v>Печень, тушенн. в соуе</v>
      </c>
      <c r="Q156" s="1038"/>
      <c r="R156" s="1044" t="str">
        <f>R122</f>
        <v>Каша гречневая</v>
      </c>
      <c r="S156" s="1044" t="s">
        <v>63</v>
      </c>
      <c r="T156" s="1044" t="str">
        <f t="shared" ref="T156" si="3">T120</f>
        <v>Хлеб ржано-пшеничный</v>
      </c>
      <c r="U156" s="1044">
        <f>U120</f>
        <v>0</v>
      </c>
      <c r="V156" s="1044">
        <f t="shared" ref="V156" si="4">V120</f>
        <v>0</v>
      </c>
      <c r="W156" s="1041" t="str">
        <f>W120</f>
        <v>Рыба, запеч. с овощами</v>
      </c>
      <c r="X156" s="1096"/>
      <c r="Y156" s="1044" t="str">
        <f t="shared" ref="Y156:Z156" si="5">Y120</f>
        <v>Чай с сахаром</v>
      </c>
      <c r="Z156" s="1044" t="str">
        <f t="shared" si="5"/>
        <v>Хлеб йодирован. пшен.</v>
      </c>
      <c r="AA156" s="24"/>
      <c r="AB156" s="23"/>
    </row>
    <row r="157" spans="1:28">
      <c r="A157" s="207"/>
      <c r="B157" s="5"/>
      <c r="C157" s="5" t="s">
        <v>10</v>
      </c>
      <c r="D157" s="1237"/>
      <c r="E157" s="1039"/>
      <c r="F157" s="1042"/>
      <c r="G157" s="1039"/>
      <c r="H157" s="1042"/>
      <c r="I157" s="1039"/>
      <c r="J157" s="1071"/>
      <c r="K157" s="1071"/>
      <c r="L157" s="1071"/>
      <c r="M157" s="1042"/>
      <c r="N157" s="1042"/>
      <c r="O157" s="1039"/>
      <c r="P157" s="1042"/>
      <c r="Q157" s="1039"/>
      <c r="R157" s="1130"/>
      <c r="S157" s="1045"/>
      <c r="T157" s="1045"/>
      <c r="U157" s="1045"/>
      <c r="V157" s="1045"/>
      <c r="W157" s="1097"/>
      <c r="X157" s="1098"/>
      <c r="Y157" s="1045"/>
      <c r="Z157" s="1045"/>
      <c r="AA157" s="19" t="s">
        <v>6</v>
      </c>
      <c r="AB157" s="206" t="s">
        <v>4</v>
      </c>
    </row>
    <row r="158" spans="1:28" ht="15" customHeight="1">
      <c r="A158" s="209"/>
      <c r="B158" s="4"/>
      <c r="C158" s="4"/>
      <c r="D158" s="1238"/>
      <c r="E158" s="1040"/>
      <c r="F158" s="1043"/>
      <c r="G158" s="1040"/>
      <c r="H158" s="1043"/>
      <c r="I158" s="1040"/>
      <c r="J158" s="1072"/>
      <c r="K158" s="1072"/>
      <c r="L158" s="1072"/>
      <c r="M158" s="1043"/>
      <c r="N158" s="1043"/>
      <c r="O158" s="1040"/>
      <c r="P158" s="1043"/>
      <c r="Q158" s="1040"/>
      <c r="R158" s="1217"/>
      <c r="S158" s="1046"/>
      <c r="T158" s="1046"/>
      <c r="U158" s="1046"/>
      <c r="V158" s="1046"/>
      <c r="W158" s="1099"/>
      <c r="X158" s="1100"/>
      <c r="Y158" s="1046"/>
      <c r="Z158" s="1046"/>
      <c r="AA158" s="4" t="s">
        <v>7</v>
      </c>
      <c r="AB158" s="205" t="s">
        <v>5</v>
      </c>
    </row>
    <row r="159" spans="1:28" ht="13.5" thickBot="1">
      <c r="A159" s="64">
        <v>1</v>
      </c>
      <c r="B159" s="34">
        <v>2</v>
      </c>
      <c r="C159" s="72">
        <v>3</v>
      </c>
      <c r="D159" s="486"/>
      <c r="E159" s="80">
        <v>4</v>
      </c>
      <c r="F159" s="86">
        <v>5</v>
      </c>
      <c r="G159" s="76">
        <v>6</v>
      </c>
      <c r="H159" s="87">
        <v>7</v>
      </c>
      <c r="I159" s="80">
        <v>8</v>
      </c>
      <c r="J159" s="82">
        <v>9</v>
      </c>
      <c r="K159" s="95">
        <v>10</v>
      </c>
      <c r="L159" s="96">
        <v>11</v>
      </c>
      <c r="M159" s="81">
        <v>12</v>
      </c>
      <c r="N159" s="82">
        <v>13</v>
      </c>
      <c r="O159" s="93">
        <v>14</v>
      </c>
      <c r="P159" s="97">
        <v>15</v>
      </c>
      <c r="Q159" s="93">
        <v>16</v>
      </c>
      <c r="R159" s="80"/>
      <c r="S159" s="96">
        <v>17</v>
      </c>
      <c r="T159" s="98">
        <v>18</v>
      </c>
      <c r="U159" s="96"/>
      <c r="V159" s="80">
        <v>19</v>
      </c>
      <c r="W159" s="80"/>
      <c r="X159" s="96">
        <v>20</v>
      </c>
      <c r="Y159" s="81">
        <v>21</v>
      </c>
      <c r="Z159" s="96">
        <v>22</v>
      </c>
      <c r="AA159" s="35">
        <v>30</v>
      </c>
      <c r="AB159" s="36">
        <v>31</v>
      </c>
    </row>
    <row r="160" spans="1:28" ht="15" customHeight="1" thickTop="1">
      <c r="A160" s="135"/>
      <c r="B160" s="13"/>
      <c r="C160" s="77" t="s">
        <v>72</v>
      </c>
      <c r="D160" s="297"/>
      <c r="E160" s="277"/>
      <c r="F160" s="109"/>
      <c r="G160" s="94"/>
      <c r="H160" s="109"/>
      <c r="I160" s="94"/>
      <c r="J160" s="667"/>
      <c r="K160" s="277"/>
      <c r="L160" s="94"/>
      <c r="M160" s="130">
        <v>55.4</v>
      </c>
      <c r="N160" s="411"/>
      <c r="O160" s="410"/>
      <c r="P160" s="109"/>
      <c r="Q160" s="94"/>
      <c r="R160" s="94"/>
      <c r="S160" s="94"/>
      <c r="T160" s="94"/>
      <c r="U160" s="94"/>
      <c r="V160" s="130"/>
      <c r="W160" s="113">
        <f>51.3/100*W125</f>
        <v>51.300000000000004</v>
      </c>
      <c r="X160" s="113">
        <f>W160/W125*X125</f>
        <v>51.300000000000004</v>
      </c>
      <c r="Y160" s="94"/>
      <c r="Z160" s="94"/>
      <c r="AA160" s="117"/>
      <c r="AB160" s="116"/>
    </row>
    <row r="161" spans="1:28" ht="16.5" thickBot="1">
      <c r="A161" s="346" t="str">
        <f>A62</f>
        <v>Картофель</v>
      </c>
      <c r="B161" s="347">
        <f>B62</f>
        <v>28</v>
      </c>
      <c r="C161" s="348" t="s">
        <v>73</v>
      </c>
      <c r="D161" s="387"/>
      <c r="E161" s="353"/>
      <c r="F161" s="338"/>
      <c r="G161" s="337"/>
      <c r="H161" s="338"/>
      <c r="I161" s="337"/>
      <c r="J161" s="668"/>
      <c r="K161" s="353"/>
      <c r="L161" s="337"/>
      <c r="M161" s="339">
        <f>M160*B124/1000</f>
        <v>5.54</v>
      </c>
      <c r="N161" s="361"/>
      <c r="O161" s="350"/>
      <c r="P161" s="338"/>
      <c r="Q161" s="337"/>
      <c r="R161" s="337"/>
      <c r="S161" s="337"/>
      <c r="T161" s="337"/>
      <c r="U161" s="353"/>
      <c r="V161" s="350"/>
      <c r="W161" s="378">
        <f>W160*F124/1000</f>
        <v>5.13</v>
      </c>
      <c r="X161" s="341">
        <f>W161</f>
        <v>5.13</v>
      </c>
      <c r="Y161" s="337"/>
      <c r="Z161" s="337"/>
      <c r="AA161" s="343">
        <f>ROUND(E161+G161+I161+K161+L161+M161+N161+O161+Q161+S161+T161+U161+V161+X161+Y161+Z161,2)</f>
        <v>10.67</v>
      </c>
      <c r="AB161" s="344">
        <f>AA161*B161</f>
        <v>298.76</v>
      </c>
    </row>
    <row r="162" spans="1:28" ht="15" customHeight="1" thickTop="1">
      <c r="A162" s="133"/>
      <c r="B162" s="122"/>
      <c r="C162" s="77" t="s">
        <v>72</v>
      </c>
      <c r="D162" s="78"/>
      <c r="E162" s="268"/>
      <c r="F162" s="112"/>
      <c r="G162" s="106"/>
      <c r="H162" s="112"/>
      <c r="I162" s="106"/>
      <c r="J162" s="669"/>
      <c r="K162" s="268"/>
      <c r="L162" s="106"/>
      <c r="M162" s="106"/>
      <c r="N162" s="274"/>
      <c r="O162" s="499"/>
      <c r="P162" s="112"/>
      <c r="Q162" s="113"/>
      <c r="R162" s="113"/>
      <c r="S162" s="106"/>
      <c r="T162" s="106"/>
      <c r="U162" s="106"/>
      <c r="V162" s="127"/>
      <c r="W162" s="113">
        <f>23.3/100*W125</f>
        <v>23.3</v>
      </c>
      <c r="X162" s="113">
        <f>W162/W125*X125</f>
        <v>23.3</v>
      </c>
      <c r="Y162" s="106"/>
      <c r="Z162" s="106"/>
      <c r="AA162" s="213"/>
      <c r="AB162" s="123"/>
    </row>
    <row r="163" spans="1:28" ht="16.5" thickBot="1">
      <c r="A163" s="346" t="str">
        <f>A64</f>
        <v>Капуста св. б/к</v>
      </c>
      <c r="B163" s="347">
        <f>B64</f>
        <v>30</v>
      </c>
      <c r="C163" s="348" t="s">
        <v>73</v>
      </c>
      <c r="D163" s="387"/>
      <c r="E163" s="353"/>
      <c r="F163" s="338"/>
      <c r="G163" s="337"/>
      <c r="H163" s="338"/>
      <c r="I163" s="337"/>
      <c r="J163" s="668"/>
      <c r="K163" s="353"/>
      <c r="L163" s="337"/>
      <c r="M163" s="337"/>
      <c r="N163" s="360"/>
      <c r="O163" s="341"/>
      <c r="P163" s="349"/>
      <c r="Q163" s="340"/>
      <c r="R163" s="340"/>
      <c r="S163" s="337"/>
      <c r="T163" s="337"/>
      <c r="U163" s="353"/>
      <c r="V163" s="341">
        <f>V162*V124/1000</f>
        <v>0</v>
      </c>
      <c r="W163" s="378">
        <f>W162*F124/1000</f>
        <v>2.33</v>
      </c>
      <c r="X163" s="341">
        <f>W163</f>
        <v>2.33</v>
      </c>
      <c r="Y163" s="337"/>
      <c r="Z163" s="337"/>
      <c r="AA163" s="343">
        <f>ROUND(E163+G163+I163+K163+L163+M163+N163+O163+Q163+S163+T163+U163+V163+X163+Y163+Z163,2)</f>
        <v>2.33</v>
      </c>
      <c r="AB163" s="344">
        <f>AA163*B163</f>
        <v>69.900000000000006</v>
      </c>
    </row>
    <row r="164" spans="1:28" ht="15" customHeight="1" thickTop="1">
      <c r="A164" s="133"/>
      <c r="B164" s="122"/>
      <c r="C164" s="77" t="s">
        <v>72</v>
      </c>
      <c r="D164" s="78"/>
      <c r="E164" s="268"/>
      <c r="F164" s="112"/>
      <c r="G164" s="106"/>
      <c r="H164" s="112"/>
      <c r="I164" s="106"/>
      <c r="J164" s="669"/>
      <c r="K164" s="268"/>
      <c r="L164" s="130"/>
      <c r="M164" s="130">
        <v>8.6</v>
      </c>
      <c r="N164" s="108"/>
      <c r="O164" s="129"/>
      <c r="P164" s="108">
        <f>7.2/60*P125</f>
        <v>7.2</v>
      </c>
      <c r="Q164" s="129">
        <f>P164/P125*Q125</f>
        <v>7.2</v>
      </c>
      <c r="R164" s="129"/>
      <c r="S164" s="106"/>
      <c r="T164" s="106"/>
      <c r="U164" s="106"/>
      <c r="V164" s="250"/>
      <c r="W164" s="113">
        <f>12/100*W125</f>
        <v>12</v>
      </c>
      <c r="X164" s="113">
        <f>W164/W125*X125</f>
        <v>12</v>
      </c>
      <c r="Y164" s="106"/>
      <c r="Z164" s="106"/>
      <c r="AA164" s="214"/>
      <c r="AB164" s="216"/>
    </row>
    <row r="165" spans="1:28" ht="16.5" thickBot="1">
      <c r="A165" s="346" t="str">
        <f>A66</f>
        <v>Лук</v>
      </c>
      <c r="B165" s="347">
        <f>B66</f>
        <v>37</v>
      </c>
      <c r="C165" s="348" t="s">
        <v>73</v>
      </c>
      <c r="D165" s="387"/>
      <c r="E165" s="353"/>
      <c r="F165" s="338"/>
      <c r="G165" s="337"/>
      <c r="H165" s="338"/>
      <c r="I165" s="337"/>
      <c r="J165" s="668"/>
      <c r="K165" s="353"/>
      <c r="L165" s="339"/>
      <c r="M165" s="339">
        <f>M164*B124/1000</f>
        <v>0.86</v>
      </c>
      <c r="N165" s="349"/>
      <c r="O165" s="341"/>
      <c r="P165" s="349">
        <f>P164*P124/1000</f>
        <v>0.72</v>
      </c>
      <c r="Q165" s="339">
        <f>P165</f>
        <v>0.72</v>
      </c>
      <c r="R165" s="340"/>
      <c r="S165" s="337"/>
      <c r="T165" s="337"/>
      <c r="U165" s="353"/>
      <c r="V165" s="350"/>
      <c r="W165" s="378">
        <f>W164*F124/1000</f>
        <v>1.2</v>
      </c>
      <c r="X165" s="341">
        <f>W165</f>
        <v>1.2</v>
      </c>
      <c r="Y165" s="337"/>
      <c r="Z165" s="337"/>
      <c r="AA165" s="343">
        <f>ROUND(E165+G165+I165+K165+L165+M165+O165+Q165+S165+T165+U165+V165+X165+Y165+Z165,2)</f>
        <v>2.78</v>
      </c>
      <c r="AB165" s="351">
        <f>AA165*B165</f>
        <v>102.86</v>
      </c>
    </row>
    <row r="166" spans="1:28" ht="15" customHeight="1" thickTop="1">
      <c r="A166" s="133"/>
      <c r="B166" s="122"/>
      <c r="C166" s="77" t="s">
        <v>72</v>
      </c>
      <c r="D166" s="78"/>
      <c r="E166" s="268"/>
      <c r="F166" s="112"/>
      <c r="G166" s="106"/>
      <c r="H166" s="112"/>
      <c r="I166" s="106"/>
      <c r="J166" s="669"/>
      <c r="K166" s="268"/>
      <c r="L166" s="127"/>
      <c r="M166" s="130">
        <v>12</v>
      </c>
      <c r="N166" s="274"/>
      <c r="O166" s="499"/>
      <c r="P166" s="177"/>
      <c r="Q166" s="129"/>
      <c r="R166" s="129"/>
      <c r="S166" s="106"/>
      <c r="T166" s="106"/>
      <c r="U166" s="106"/>
      <c r="V166" s="250"/>
      <c r="W166" s="113">
        <f>16.6/100*W125</f>
        <v>16.600000000000001</v>
      </c>
      <c r="X166" s="113">
        <f>W166/W125*X125</f>
        <v>16.600000000000001</v>
      </c>
      <c r="Y166" s="106"/>
      <c r="Z166" s="106"/>
      <c r="AA166" s="214"/>
      <c r="AB166" s="216"/>
    </row>
    <row r="167" spans="1:28" ht="16.5" thickBot="1">
      <c r="A167" s="346" t="str">
        <f>A68</f>
        <v>Морковь</v>
      </c>
      <c r="B167" s="347">
        <f>B68</f>
        <v>38</v>
      </c>
      <c r="C167" s="348" t="s">
        <v>73</v>
      </c>
      <c r="D167" s="385"/>
      <c r="E167" s="353"/>
      <c r="F167" s="338"/>
      <c r="G167" s="337"/>
      <c r="H167" s="338"/>
      <c r="I167" s="337"/>
      <c r="J167" s="668"/>
      <c r="K167" s="353"/>
      <c r="L167" s="339"/>
      <c r="M167" s="339">
        <f>M166*B124/1000</f>
        <v>1.2</v>
      </c>
      <c r="N167" s="360"/>
      <c r="O167" s="341"/>
      <c r="P167" s="349"/>
      <c r="Q167" s="340"/>
      <c r="R167" s="340"/>
      <c r="S167" s="337"/>
      <c r="T167" s="337"/>
      <c r="U167" s="353"/>
      <c r="V167" s="350"/>
      <c r="W167" s="378">
        <f>W166*F124/1000</f>
        <v>1.6600000000000001</v>
      </c>
      <c r="X167" s="341">
        <f>W167</f>
        <v>1.6600000000000001</v>
      </c>
      <c r="Y167" s="337"/>
      <c r="Z167" s="337"/>
      <c r="AA167" s="343">
        <f>ROUND(E167+G167+I167+K167+L167+M167+N167+O167+Q167+S167+T167+U167+V167+X167+Y167+Z167,2)</f>
        <v>2.86</v>
      </c>
      <c r="AB167" s="344">
        <f>AA167*B167</f>
        <v>108.67999999999999</v>
      </c>
    </row>
    <row r="168" spans="1:28" ht="15" customHeight="1" thickTop="1">
      <c r="A168" s="133"/>
      <c r="B168" s="122"/>
      <c r="C168" s="77" t="s">
        <v>72</v>
      </c>
      <c r="D168" s="502"/>
      <c r="E168" s="129"/>
      <c r="F168" s="112"/>
      <c r="G168" s="106"/>
      <c r="H168" s="112"/>
      <c r="I168" s="106"/>
      <c r="J168" s="563"/>
      <c r="K168" s="268"/>
      <c r="L168" s="184"/>
      <c r="M168" s="130">
        <v>14.6</v>
      </c>
      <c r="N168" s="405"/>
      <c r="O168" s="268"/>
      <c r="P168" s="177"/>
      <c r="Q168" s="251"/>
      <c r="R168" s="251"/>
      <c r="S168" s="106"/>
      <c r="T168" s="106"/>
      <c r="U168" s="127"/>
      <c r="V168" s="128"/>
      <c r="W168" s="128"/>
      <c r="X168" s="106"/>
      <c r="Y168" s="106"/>
      <c r="Z168" s="106"/>
      <c r="AA168" s="214"/>
      <c r="AB168" s="216"/>
    </row>
    <row r="169" spans="1:28" ht="16.5" thickBot="1">
      <c r="A169" s="346" t="str">
        <f>A70</f>
        <v>Горох</v>
      </c>
      <c r="B169" s="347">
        <f>B70</f>
        <v>65</v>
      </c>
      <c r="C169" s="348" t="s">
        <v>73</v>
      </c>
      <c r="D169" s="363"/>
      <c r="E169" s="350"/>
      <c r="F169" s="338"/>
      <c r="G169" s="337"/>
      <c r="H169" s="338"/>
      <c r="I169" s="337"/>
      <c r="J169" s="668"/>
      <c r="K169" s="353"/>
      <c r="L169" s="341"/>
      <c r="M169" s="339">
        <f>M168*B124/1000</f>
        <v>1.46</v>
      </c>
      <c r="N169" s="360"/>
      <c r="O169" s="353"/>
      <c r="P169" s="349"/>
      <c r="Q169" s="358"/>
      <c r="R169" s="358"/>
      <c r="S169" s="337"/>
      <c r="T169" s="337"/>
      <c r="U169" s="339"/>
      <c r="V169" s="340"/>
      <c r="W169" s="340"/>
      <c r="X169" s="337"/>
      <c r="Y169" s="337"/>
      <c r="Z169" s="337"/>
      <c r="AA169" s="343">
        <f>ROUND(E169+G169+I169+K169+L169+M169+N169+O169+Q169+S169+T169+U169+V169+X169+Y169+Z169,2)</f>
        <v>1.46</v>
      </c>
      <c r="AB169" s="344">
        <f>AA169*B169</f>
        <v>94.899999999999991</v>
      </c>
    </row>
    <row r="170" spans="1:28" ht="15" customHeight="1" thickTop="1">
      <c r="A170" s="133"/>
      <c r="B170" s="122"/>
      <c r="C170" s="77" t="s">
        <v>72</v>
      </c>
      <c r="D170" s="489">
        <v>20</v>
      </c>
      <c r="E170" s="184">
        <f>D170/D125*E125</f>
        <v>20</v>
      </c>
      <c r="F170" s="112"/>
      <c r="G170" s="106"/>
      <c r="H170" s="112"/>
      <c r="I170" s="106"/>
      <c r="J170" s="457">
        <f>J171/B124*1000</f>
        <v>10</v>
      </c>
      <c r="K170" s="184"/>
      <c r="L170" s="106"/>
      <c r="M170" s="106"/>
      <c r="N170" s="270"/>
      <c r="O170" s="268"/>
      <c r="P170" s="177"/>
      <c r="Q170" s="252"/>
      <c r="R170" s="252"/>
      <c r="S170" s="106"/>
      <c r="T170" s="106"/>
      <c r="U170" s="106"/>
      <c r="V170" s="251"/>
      <c r="W170" s="113"/>
      <c r="X170" s="129"/>
      <c r="Y170" s="106"/>
      <c r="Z170" s="106"/>
      <c r="AA170" s="214"/>
      <c r="AB170" s="123"/>
    </row>
    <row r="171" spans="1:28" ht="16.5" thickBot="1">
      <c r="A171" s="346" t="str">
        <f>A72</f>
        <v>Батон витам.</v>
      </c>
      <c r="B171" s="347">
        <f>B72</f>
        <v>81.099999999999994</v>
      </c>
      <c r="C171" s="348" t="s">
        <v>73</v>
      </c>
      <c r="D171" s="490">
        <f>D170*F124/1000</f>
        <v>2</v>
      </c>
      <c r="E171" s="341">
        <f>D171</f>
        <v>2</v>
      </c>
      <c r="F171" s="338"/>
      <c r="G171" s="337"/>
      <c r="H171" s="338"/>
      <c r="I171" s="337"/>
      <c r="J171" s="589">
        <v>1</v>
      </c>
      <c r="K171" s="354"/>
      <c r="L171" s="337"/>
      <c r="M171" s="337"/>
      <c r="N171" s="352"/>
      <c r="O171" s="353"/>
      <c r="P171" s="349"/>
      <c r="Q171" s="340"/>
      <c r="R171" s="340"/>
      <c r="S171" s="337"/>
      <c r="T171" s="337"/>
      <c r="U171" s="337"/>
      <c r="V171" s="358"/>
      <c r="W171" s="378"/>
      <c r="X171" s="341"/>
      <c r="Y171" s="337"/>
      <c r="Z171" s="337"/>
      <c r="AA171" s="343">
        <f>ROUND(E171+G171+I171+J171+K171+L171+M171+N171+O171+Q171+S171+T171+U171+V171+X171+Y171+Z171,2)</f>
        <v>3</v>
      </c>
      <c r="AB171" s="344">
        <f>AA171*B171</f>
        <v>243.29999999999998</v>
      </c>
    </row>
    <row r="172" spans="1:28" ht="15" customHeight="1" thickTop="1">
      <c r="A172" s="133"/>
      <c r="B172" s="122"/>
      <c r="C172" s="77" t="s">
        <v>72</v>
      </c>
      <c r="D172" s="287"/>
      <c r="E172" s="268"/>
      <c r="F172" s="112"/>
      <c r="G172" s="106"/>
      <c r="H172" s="112"/>
      <c r="I172" s="106"/>
      <c r="J172" s="669"/>
      <c r="K172" s="268"/>
      <c r="L172" s="106"/>
      <c r="M172" s="106"/>
      <c r="N172" s="270"/>
      <c r="O172" s="268"/>
      <c r="P172" s="177"/>
      <c r="Q172" s="251"/>
      <c r="R172" s="251"/>
      <c r="S172" s="106"/>
      <c r="T172" s="128">
        <f>T173/T124*1000</f>
        <v>30</v>
      </c>
      <c r="U172" s="128"/>
      <c r="V172" s="251"/>
      <c r="W172" s="251"/>
      <c r="X172" s="106"/>
      <c r="Y172" s="106"/>
      <c r="Z172" s="106"/>
      <c r="AA172" s="214"/>
      <c r="AB172" s="216"/>
    </row>
    <row r="173" spans="1:28" ht="16.5" thickBot="1">
      <c r="A173" s="346" t="str">
        <f>A74</f>
        <v>Хлеб рж-пшен.</v>
      </c>
      <c r="B173" s="347">
        <f>B74</f>
        <v>55</v>
      </c>
      <c r="C173" s="348" t="s">
        <v>73</v>
      </c>
      <c r="D173" s="385"/>
      <c r="E173" s="353"/>
      <c r="F173" s="338"/>
      <c r="G173" s="337"/>
      <c r="H173" s="338"/>
      <c r="I173" s="337"/>
      <c r="J173" s="668"/>
      <c r="K173" s="353"/>
      <c r="L173" s="337"/>
      <c r="M173" s="337"/>
      <c r="N173" s="352"/>
      <c r="O173" s="353"/>
      <c r="P173" s="349"/>
      <c r="Q173" s="358"/>
      <c r="R173" s="358"/>
      <c r="S173" s="337"/>
      <c r="T173" s="342">
        <v>3</v>
      </c>
      <c r="U173" s="342"/>
      <c r="V173" s="358"/>
      <c r="W173" s="358"/>
      <c r="X173" s="337"/>
      <c r="Y173" s="337"/>
      <c r="Z173" s="337"/>
      <c r="AA173" s="343">
        <f>ROUND(E173+G173+I173+K173+L173+M173+N173+O173+Q173+S173+T173+U173+V173+X173+Y173+Z173,2)</f>
        <v>3</v>
      </c>
      <c r="AB173" s="344">
        <f>AA173*B173</f>
        <v>165</v>
      </c>
    </row>
    <row r="174" spans="1:28" ht="15" customHeight="1" thickTop="1">
      <c r="A174" s="133"/>
      <c r="B174" s="122"/>
      <c r="C174" s="77" t="s">
        <v>72</v>
      </c>
      <c r="D174" s="287"/>
      <c r="E174" s="268"/>
      <c r="F174" s="112"/>
      <c r="G174" s="106"/>
      <c r="H174" s="112"/>
      <c r="I174" s="106"/>
      <c r="J174" s="669"/>
      <c r="K174" s="268"/>
      <c r="L174" s="106"/>
      <c r="M174" s="106"/>
      <c r="N174" s="274"/>
      <c r="O174" s="268"/>
      <c r="P174" s="177"/>
      <c r="Q174" s="251"/>
      <c r="R174" s="251"/>
      <c r="S174" s="106"/>
      <c r="T174" s="106"/>
      <c r="U174" s="106"/>
      <c r="V174" s="251"/>
      <c r="W174" s="251"/>
      <c r="X174" s="106"/>
      <c r="Y174" s="106"/>
      <c r="Z174" s="128">
        <f>Z175/Z124*1000</f>
        <v>10</v>
      </c>
      <c r="AA174" s="214"/>
      <c r="AB174" s="123"/>
    </row>
    <row r="175" spans="1:28" ht="16.5" thickBot="1">
      <c r="A175" s="346" t="str">
        <f>A76</f>
        <v xml:space="preserve">Хлеб  йод. пш. </v>
      </c>
      <c r="B175" s="347">
        <f>B76</f>
        <v>61.3</v>
      </c>
      <c r="C175" s="348" t="s">
        <v>73</v>
      </c>
      <c r="D175" s="385"/>
      <c r="E175" s="353"/>
      <c r="F175" s="338"/>
      <c r="G175" s="337"/>
      <c r="H175" s="338"/>
      <c r="I175" s="337"/>
      <c r="J175" s="668"/>
      <c r="K175" s="353"/>
      <c r="L175" s="337"/>
      <c r="M175" s="337"/>
      <c r="N175" s="360"/>
      <c r="O175" s="353"/>
      <c r="P175" s="349"/>
      <c r="Q175" s="358"/>
      <c r="R175" s="358"/>
      <c r="S175" s="337"/>
      <c r="T175" s="337"/>
      <c r="U175" s="337"/>
      <c r="V175" s="358"/>
      <c r="W175" s="358"/>
      <c r="X175" s="337"/>
      <c r="Y175" s="337"/>
      <c r="Z175" s="342">
        <v>1</v>
      </c>
      <c r="AA175" s="343">
        <f>ROUND(E175+G175+I175+K175+L175+M175+N175+O175+Q175+S175+T175+U175+V175+X175+Y175+Z175,2)</f>
        <v>1</v>
      </c>
      <c r="AB175" s="344">
        <f>AA175*B175</f>
        <v>61.3</v>
      </c>
    </row>
    <row r="176" spans="1:28" ht="15" customHeight="1" thickTop="1">
      <c r="A176" s="133"/>
      <c r="B176" s="122"/>
      <c r="C176" s="77" t="s">
        <v>72</v>
      </c>
      <c r="D176" s="287"/>
      <c r="E176" s="268"/>
      <c r="F176" s="112"/>
      <c r="G176" s="106"/>
      <c r="H176" s="112"/>
      <c r="I176" s="106"/>
      <c r="J176" s="669"/>
      <c r="K176" s="268"/>
      <c r="L176" s="106"/>
      <c r="M176" s="106"/>
      <c r="N176" s="270"/>
      <c r="O176" s="268"/>
      <c r="P176" s="177"/>
      <c r="Q176" s="251"/>
      <c r="R176" s="251"/>
      <c r="S176" s="106"/>
      <c r="T176" s="106"/>
      <c r="U176" s="106"/>
      <c r="V176" s="130"/>
      <c r="W176" s="251"/>
      <c r="X176" s="106"/>
      <c r="Y176" s="127">
        <v>0.3</v>
      </c>
      <c r="Z176" s="106"/>
      <c r="AA176" s="213"/>
      <c r="AB176" s="123"/>
    </row>
    <row r="177" spans="1:28" ht="16.5" customHeight="1" thickBot="1">
      <c r="A177" s="346" t="str">
        <f>A78</f>
        <v>Чай</v>
      </c>
      <c r="B177" s="347">
        <f>B78</f>
        <v>500</v>
      </c>
      <c r="C177" s="348" t="s">
        <v>73</v>
      </c>
      <c r="D177" s="385"/>
      <c r="E177" s="353"/>
      <c r="F177" s="338"/>
      <c r="G177" s="337"/>
      <c r="H177" s="338"/>
      <c r="I177" s="337"/>
      <c r="J177" s="668"/>
      <c r="K177" s="353"/>
      <c r="L177" s="337"/>
      <c r="M177" s="337"/>
      <c r="N177" s="675"/>
      <c r="O177" s="353"/>
      <c r="P177" s="349"/>
      <c r="Q177" s="358"/>
      <c r="R177" s="358"/>
      <c r="S177" s="337"/>
      <c r="T177" s="337"/>
      <c r="U177" s="337"/>
      <c r="V177" s="350"/>
      <c r="W177" s="358"/>
      <c r="X177" s="337"/>
      <c r="Y177" s="357">
        <f>Y176*B124/1000</f>
        <v>0.03</v>
      </c>
      <c r="Z177" s="381"/>
      <c r="AA177" s="356">
        <f>ROUND(E177+G177+I177+K177+L177+M177+N177+O177+Q177+S177+T177+U177+V177+X177+Y177+Z177,3)</f>
        <v>0.03</v>
      </c>
      <c r="AB177" s="344">
        <f>AA177*B177</f>
        <v>15</v>
      </c>
    </row>
    <row r="178" spans="1:28" ht="15" customHeight="1" thickTop="1">
      <c r="A178" s="133"/>
      <c r="B178" s="122"/>
      <c r="C178" s="77" t="s">
        <v>72</v>
      </c>
      <c r="D178" s="287"/>
      <c r="E178" s="268"/>
      <c r="F178" s="112"/>
      <c r="G178" s="106"/>
      <c r="H178" s="112">
        <v>2</v>
      </c>
      <c r="I178" s="128">
        <f>H178/H125*I125</f>
        <v>2</v>
      </c>
      <c r="J178" s="669"/>
      <c r="K178" s="268"/>
      <c r="L178" s="106"/>
      <c r="M178" s="106"/>
      <c r="N178" s="270"/>
      <c r="O178" s="268"/>
      <c r="P178" s="177"/>
      <c r="Q178" s="251"/>
      <c r="R178" s="251"/>
      <c r="S178" s="106"/>
      <c r="T178" s="106"/>
      <c r="U178" s="106"/>
      <c r="V178" s="251"/>
      <c r="W178" s="251"/>
      <c r="X178" s="106"/>
      <c r="Y178" s="106"/>
      <c r="Z178" s="106"/>
      <c r="AA178" s="214"/>
      <c r="AB178" s="123"/>
    </row>
    <row r="179" spans="1:28" ht="16.5" thickBot="1">
      <c r="A179" s="346" t="str">
        <f>A80</f>
        <v>Какао</v>
      </c>
      <c r="B179" s="347">
        <f>B80</f>
        <v>450</v>
      </c>
      <c r="C179" s="348" t="s">
        <v>73</v>
      </c>
      <c r="D179" s="385"/>
      <c r="E179" s="353"/>
      <c r="F179" s="338"/>
      <c r="G179" s="337"/>
      <c r="H179" s="338">
        <f>H178*F124/1000</f>
        <v>0.2</v>
      </c>
      <c r="I179" s="357">
        <f>H179</f>
        <v>0.2</v>
      </c>
      <c r="J179" s="668"/>
      <c r="K179" s="353"/>
      <c r="L179" s="337"/>
      <c r="M179" s="337"/>
      <c r="N179" s="352"/>
      <c r="O179" s="353"/>
      <c r="P179" s="349"/>
      <c r="Q179" s="358"/>
      <c r="R179" s="358"/>
      <c r="S179" s="337"/>
      <c r="T179" s="337"/>
      <c r="U179" s="337"/>
      <c r="V179" s="358"/>
      <c r="W179" s="358"/>
      <c r="X179" s="358"/>
      <c r="Y179" s="357">
        <f>Y178*B124/1000</f>
        <v>0</v>
      </c>
      <c r="Z179" s="337"/>
      <c r="AA179" s="356">
        <f>ROUND(E179+G179+I179+K179+L179+M179+N179+O179+Q179+S179+T179+U179+V179+X179+Y179+Z179,3)</f>
        <v>0.2</v>
      </c>
      <c r="AB179" s="344">
        <f>AA179*B179</f>
        <v>90</v>
      </c>
    </row>
    <row r="180" spans="1:28" ht="15" customHeight="1" thickTop="1">
      <c r="A180" s="133"/>
      <c r="B180" s="122"/>
      <c r="C180" s="77" t="s">
        <v>72</v>
      </c>
      <c r="D180" s="108"/>
      <c r="E180" s="129"/>
      <c r="F180" s="112"/>
      <c r="G180" s="106"/>
      <c r="H180" s="108"/>
      <c r="I180" s="113"/>
      <c r="J180" s="669"/>
      <c r="K180" s="268"/>
      <c r="L180" s="114"/>
      <c r="M180" s="106"/>
      <c r="N180" s="270"/>
      <c r="O180" s="268"/>
      <c r="P180" s="177"/>
      <c r="Q180" s="251"/>
      <c r="R180" s="130">
        <v>27</v>
      </c>
      <c r="S180" s="106"/>
      <c r="T180" s="106"/>
      <c r="U180" s="106"/>
      <c r="V180" s="251"/>
      <c r="W180" s="251"/>
      <c r="X180" s="256"/>
      <c r="Y180" s="251"/>
      <c r="Z180" s="106"/>
      <c r="AA180" s="214"/>
      <c r="AB180" s="123"/>
    </row>
    <row r="181" spans="1:28" ht="16.5" thickBot="1">
      <c r="A181" s="346" t="str">
        <f>A82</f>
        <v>Гречневая кр.</v>
      </c>
      <c r="B181" s="347">
        <f>B82</f>
        <v>72.98</v>
      </c>
      <c r="C181" s="348" t="s">
        <v>73</v>
      </c>
      <c r="D181" s="349"/>
      <c r="E181" s="341"/>
      <c r="F181" s="338"/>
      <c r="G181" s="337"/>
      <c r="H181" s="349"/>
      <c r="I181" s="350"/>
      <c r="J181" s="668"/>
      <c r="K181" s="353"/>
      <c r="L181" s="342"/>
      <c r="M181" s="337"/>
      <c r="N181" s="352"/>
      <c r="O181" s="353"/>
      <c r="P181" s="349"/>
      <c r="Q181" s="358"/>
      <c r="R181" s="339">
        <f>R180*B124/1000</f>
        <v>2.7</v>
      </c>
      <c r="S181" s="337"/>
      <c r="T181" s="337"/>
      <c r="U181" s="337"/>
      <c r="V181" s="358"/>
      <c r="W181" s="358"/>
      <c r="X181" s="340"/>
      <c r="Y181" s="358"/>
      <c r="Z181" s="337"/>
      <c r="AA181" s="343">
        <f>ROUND(E181+G181+I181+K181+L181+M181+N181+O181+Q181+R181+S181+T181+U181+V181+X181+Y181+Z181,2)</f>
        <v>2.7</v>
      </c>
      <c r="AB181" s="344">
        <f>AA181*B181</f>
        <v>197.04600000000002</v>
      </c>
    </row>
    <row r="182" spans="1:28" ht="15.75" customHeight="1" thickTop="1">
      <c r="A182" s="133"/>
      <c r="B182" s="122"/>
      <c r="C182" s="77" t="s">
        <v>72</v>
      </c>
      <c r="D182" s="287"/>
      <c r="E182" s="268"/>
      <c r="F182" s="112"/>
      <c r="G182" s="106"/>
      <c r="H182" s="112"/>
      <c r="I182" s="106"/>
      <c r="J182" s="669"/>
      <c r="K182" s="268"/>
      <c r="L182" s="130"/>
      <c r="M182" s="130"/>
      <c r="N182" s="274"/>
      <c r="O182" s="272"/>
      <c r="P182" s="108"/>
      <c r="Q182" s="129">
        <f>P182/P125*Q125</f>
        <v>0</v>
      </c>
      <c r="R182" s="129"/>
      <c r="S182" s="106"/>
      <c r="T182" s="106"/>
      <c r="U182" s="106"/>
      <c r="V182" s="250"/>
      <c r="W182" s="250"/>
      <c r="X182" s="106"/>
      <c r="Y182" s="106"/>
      <c r="Z182" s="106"/>
      <c r="AA182" s="214"/>
      <c r="AB182" s="123"/>
    </row>
    <row r="183" spans="1:28" ht="16.5" thickBot="1">
      <c r="A183" s="346" t="str">
        <f>A84</f>
        <v>Томатная паста</v>
      </c>
      <c r="B183" s="347">
        <f>B84</f>
        <v>370</v>
      </c>
      <c r="C183" s="348" t="s">
        <v>73</v>
      </c>
      <c r="D183" s="385"/>
      <c r="E183" s="353"/>
      <c r="F183" s="338"/>
      <c r="G183" s="337"/>
      <c r="H183" s="338"/>
      <c r="I183" s="337"/>
      <c r="J183" s="668"/>
      <c r="K183" s="353"/>
      <c r="L183" s="339"/>
      <c r="M183" s="339"/>
      <c r="N183" s="360"/>
      <c r="O183" s="341"/>
      <c r="P183" s="349">
        <f>P182*P124/1000</f>
        <v>0</v>
      </c>
      <c r="Q183" s="339">
        <f>P183</f>
        <v>0</v>
      </c>
      <c r="R183" s="340"/>
      <c r="S183" s="337"/>
      <c r="T183" s="337"/>
      <c r="U183" s="353"/>
      <c r="V183" s="350"/>
      <c r="W183" s="350"/>
      <c r="X183" s="337"/>
      <c r="Y183" s="337"/>
      <c r="Z183" s="337"/>
      <c r="AA183" s="343">
        <f>ROUND(E183+G183+I183+K183+L183+M183+N183+O183+Q183+S183+T183+U183+V183+X183+Y183+Z183,2)</f>
        <v>0</v>
      </c>
      <c r="AB183" s="344">
        <f>AA183*B183</f>
        <v>0</v>
      </c>
    </row>
    <row r="184" spans="1:28" ht="15" customHeight="1" thickTop="1">
      <c r="A184" s="133"/>
      <c r="B184" s="122"/>
      <c r="C184" s="77" t="s">
        <v>72</v>
      </c>
      <c r="D184" s="287"/>
      <c r="E184" s="271"/>
      <c r="F184" s="112"/>
      <c r="G184" s="105"/>
      <c r="H184" s="112"/>
      <c r="I184" s="105"/>
      <c r="J184" s="669"/>
      <c r="K184" s="271"/>
      <c r="L184" s="127"/>
      <c r="M184" s="105"/>
      <c r="N184" s="273"/>
      <c r="O184" s="271"/>
      <c r="P184" s="112"/>
      <c r="Q184" s="105"/>
      <c r="R184" s="105"/>
      <c r="S184" s="127"/>
      <c r="T184" s="105"/>
      <c r="U184" s="105"/>
      <c r="V184" s="131"/>
      <c r="W184" s="127"/>
      <c r="X184" s="105"/>
      <c r="Y184" s="105"/>
      <c r="Z184" s="105"/>
      <c r="AA184" s="214"/>
      <c r="AB184" s="123"/>
    </row>
    <row r="185" spans="1:28" ht="16.5" thickBot="1">
      <c r="A185" s="346">
        <f>A86</f>
        <v>0</v>
      </c>
      <c r="B185" s="347">
        <f>B86</f>
        <v>0</v>
      </c>
      <c r="C185" s="348" t="s">
        <v>73</v>
      </c>
      <c r="D185" s="385"/>
      <c r="E185" s="353"/>
      <c r="F185" s="338"/>
      <c r="G185" s="337"/>
      <c r="H185" s="338"/>
      <c r="I185" s="337"/>
      <c r="J185" s="668"/>
      <c r="K185" s="353"/>
      <c r="L185" s="357"/>
      <c r="M185" s="337"/>
      <c r="N185" s="360"/>
      <c r="O185" s="353"/>
      <c r="P185" s="338"/>
      <c r="Q185" s="337"/>
      <c r="R185" s="337"/>
      <c r="S185" s="357"/>
      <c r="T185" s="337"/>
      <c r="U185" s="337"/>
      <c r="V185" s="366"/>
      <c r="W185" s="357"/>
      <c r="X185" s="337"/>
      <c r="Y185" s="337"/>
      <c r="Z185" s="337"/>
      <c r="AA185" s="356">
        <f>ROUND(E185+G185+I185+K185+L185+M185+N185+O185+Q185+S185+T185+U185+V185+X185+Y185+Z185,3)</f>
        <v>0</v>
      </c>
      <c r="AB185" s="344">
        <f>AA185*B185</f>
        <v>0</v>
      </c>
    </row>
    <row r="186" spans="1:28" ht="15" customHeight="1" thickTop="1">
      <c r="A186" s="133"/>
      <c r="B186" s="122"/>
      <c r="C186" s="77" t="s">
        <v>72</v>
      </c>
      <c r="D186" s="497">
        <v>10.6</v>
      </c>
      <c r="E186" s="129">
        <f>D186/D125*E125</f>
        <v>10.6</v>
      </c>
      <c r="F186" s="112"/>
      <c r="G186" s="106"/>
      <c r="H186" s="112"/>
      <c r="I186" s="106"/>
      <c r="J186" s="669"/>
      <c r="K186" s="268"/>
      <c r="L186" s="184"/>
      <c r="M186" s="106"/>
      <c r="N186" s="269"/>
      <c r="O186" s="268"/>
      <c r="P186" s="112"/>
      <c r="Q186" s="106"/>
      <c r="R186" s="106"/>
      <c r="S186" s="106"/>
      <c r="T186" s="106"/>
      <c r="U186" s="106"/>
      <c r="V186" s="106"/>
      <c r="W186" s="106"/>
      <c r="X186" s="127"/>
      <c r="Y186" s="106"/>
      <c r="Z186" s="106"/>
      <c r="AA186" s="214"/>
      <c r="AB186" s="123"/>
    </row>
    <row r="187" spans="1:28" ht="16.5" thickBot="1">
      <c r="A187" s="346" t="str">
        <f>A88</f>
        <v>Сыр "Росс"</v>
      </c>
      <c r="B187" s="347">
        <f>B88</f>
        <v>540</v>
      </c>
      <c r="C187" s="348" t="s">
        <v>73</v>
      </c>
      <c r="D187" s="363">
        <f>D186*F124/1000</f>
        <v>1.06</v>
      </c>
      <c r="E187" s="341">
        <f>D187</f>
        <v>1.06</v>
      </c>
      <c r="F187" s="338"/>
      <c r="G187" s="337"/>
      <c r="H187" s="338"/>
      <c r="I187" s="337"/>
      <c r="J187" s="668"/>
      <c r="K187" s="353"/>
      <c r="L187" s="341"/>
      <c r="M187" s="337"/>
      <c r="N187" s="352"/>
      <c r="O187" s="353"/>
      <c r="P187" s="338"/>
      <c r="Q187" s="337"/>
      <c r="R187" s="337"/>
      <c r="S187" s="337"/>
      <c r="T187" s="337"/>
      <c r="U187" s="337"/>
      <c r="V187" s="337"/>
      <c r="W187" s="337"/>
      <c r="X187" s="355"/>
      <c r="Y187" s="337"/>
      <c r="Z187" s="337"/>
      <c r="AA187" s="343">
        <f>ROUND(E187+G187+I187+K187+L187+M187+N187+O187+Q187+S187+T187+U187+V187+X187+Y187+Z187,2)</f>
        <v>1.06</v>
      </c>
      <c r="AB187" s="344">
        <f>AA187*B187</f>
        <v>572.4</v>
      </c>
    </row>
    <row r="188" spans="1:28" ht="15" customHeight="1" thickTop="1">
      <c r="A188" s="133"/>
      <c r="B188" s="122"/>
      <c r="C188" s="77" t="s">
        <v>72</v>
      </c>
      <c r="D188" s="287"/>
      <c r="E188" s="268"/>
      <c r="F188" s="112">
        <v>0.3</v>
      </c>
      <c r="G188" s="114">
        <f>F188/F125*G125</f>
        <v>0.3</v>
      </c>
      <c r="H188" s="112"/>
      <c r="I188" s="106"/>
      <c r="J188" s="669"/>
      <c r="K188" s="268"/>
      <c r="L188" s="130"/>
      <c r="M188" s="127">
        <v>0.3</v>
      </c>
      <c r="N188" s="270"/>
      <c r="O188" s="268">
        <v>0.6</v>
      </c>
      <c r="P188" s="112">
        <v>0.3</v>
      </c>
      <c r="Q188" s="114">
        <f>P188/P125*Q125</f>
        <v>0.3</v>
      </c>
      <c r="R188" s="130">
        <v>0.5</v>
      </c>
      <c r="S188" s="106"/>
      <c r="T188" s="106"/>
      <c r="U188" s="581"/>
      <c r="V188" s="679"/>
      <c r="W188" s="268"/>
      <c r="X188" s="127">
        <v>0.5</v>
      </c>
      <c r="Y188" s="106"/>
      <c r="Z188" s="106"/>
      <c r="AA188" s="214"/>
      <c r="AB188" s="123"/>
    </row>
    <row r="189" spans="1:28" ht="16.5" thickBot="1">
      <c r="A189" s="346" t="str">
        <f>A90</f>
        <v>Соль иодиров.</v>
      </c>
      <c r="B189" s="347">
        <f>B90</f>
        <v>28</v>
      </c>
      <c r="C189" s="348" t="s">
        <v>73</v>
      </c>
      <c r="D189" s="385"/>
      <c r="E189" s="353"/>
      <c r="F189" s="338">
        <f>F188*F124/1000</f>
        <v>0.03</v>
      </c>
      <c r="G189" s="339">
        <f>ROUND(F189,2)</f>
        <v>0.03</v>
      </c>
      <c r="H189" s="338"/>
      <c r="I189" s="337"/>
      <c r="J189" s="668"/>
      <c r="K189" s="353"/>
      <c r="L189" s="339">
        <f>L188*B124/1000</f>
        <v>0</v>
      </c>
      <c r="M189" s="342">
        <f>M188*B124/1000</f>
        <v>0.03</v>
      </c>
      <c r="N189" s="361"/>
      <c r="O189" s="341">
        <f>O188*B124/1000</f>
        <v>0.06</v>
      </c>
      <c r="P189" s="349">
        <f>P188*P124/1000</f>
        <v>0.03</v>
      </c>
      <c r="Q189" s="339">
        <f>ROUND(P189,2)</f>
        <v>0.03</v>
      </c>
      <c r="R189" s="339">
        <f>R188*B124/1000</f>
        <v>0.05</v>
      </c>
      <c r="S189" s="337"/>
      <c r="T189" s="337"/>
      <c r="U189" s="459"/>
      <c r="V189" s="589">
        <f>V188*V124/1000</f>
        <v>0</v>
      </c>
      <c r="W189" s="353"/>
      <c r="X189" s="339">
        <f>ROUND(X188*B124/1000,2)</f>
        <v>0.05</v>
      </c>
      <c r="Y189" s="337"/>
      <c r="Z189" s="337"/>
      <c r="AA189" s="343">
        <f>ROUND(E189+G189+I189+K189+L189+M189+N189+O189+Q189+R189+S189+T189+U189+V189+X189+Y189+Z189,2)</f>
        <v>0.25</v>
      </c>
      <c r="AB189" s="344">
        <f>AA189*B189</f>
        <v>7</v>
      </c>
    </row>
    <row r="190" spans="1:28" ht="15.75" thickTop="1">
      <c r="A190" s="133"/>
      <c r="B190" s="122"/>
      <c r="C190" s="77" t="s">
        <v>72</v>
      </c>
      <c r="D190" s="287"/>
      <c r="E190" s="268"/>
      <c r="F190" s="112"/>
      <c r="G190" s="106"/>
      <c r="H190" s="112"/>
      <c r="I190" s="106"/>
      <c r="J190" s="669"/>
      <c r="K190" s="268"/>
      <c r="L190" s="130">
        <f>L191/B124*1000</f>
        <v>150</v>
      </c>
      <c r="M190" s="106"/>
      <c r="N190" s="274"/>
      <c r="O190" s="268"/>
      <c r="P190" s="112"/>
      <c r="Q190" s="113"/>
      <c r="R190" s="113"/>
      <c r="S190" s="106"/>
      <c r="T190" s="106"/>
      <c r="U190" s="106"/>
      <c r="V190" s="131"/>
      <c r="W190" s="127"/>
      <c r="X190" s="106"/>
      <c r="Y190" s="106"/>
      <c r="Z190" s="106"/>
      <c r="AA190" s="215"/>
      <c r="AB190" s="123"/>
    </row>
    <row r="191" spans="1:28" ht="16.5" thickBot="1">
      <c r="A191" s="346" t="str">
        <f>A92</f>
        <v>Сок фрукт.</v>
      </c>
      <c r="B191" s="347">
        <v>54.9</v>
      </c>
      <c r="C191" s="348" t="s">
        <v>73</v>
      </c>
      <c r="D191" s="385"/>
      <c r="E191" s="353"/>
      <c r="F191" s="338"/>
      <c r="G191" s="337"/>
      <c r="H191" s="338"/>
      <c r="I191" s="337"/>
      <c r="J191" s="668"/>
      <c r="K191" s="353"/>
      <c r="L191" s="339">
        <v>15</v>
      </c>
      <c r="M191" s="337"/>
      <c r="N191" s="360"/>
      <c r="O191" s="353"/>
      <c r="P191" s="349"/>
      <c r="Q191" s="340"/>
      <c r="R191" s="340"/>
      <c r="S191" s="337"/>
      <c r="T191" s="337"/>
      <c r="U191" s="353"/>
      <c r="V191" s="341"/>
      <c r="W191" s="341"/>
      <c r="X191" s="337"/>
      <c r="Y191" s="337"/>
      <c r="Z191" s="337"/>
      <c r="AA191" s="343">
        <f>ROUND(E191+G191+I191+K191+L191+M191+N191+O191+Q191+S191+T191+V191+X191+Y191+Z191,2)</f>
        <v>15</v>
      </c>
      <c r="AB191" s="344">
        <f>AA191*B191</f>
        <v>823.5</v>
      </c>
    </row>
    <row r="192" spans="1:28" ht="15.75" thickTop="1">
      <c r="A192" s="133"/>
      <c r="B192" s="122"/>
      <c r="C192" s="77" t="s">
        <v>72</v>
      </c>
      <c r="D192" s="693"/>
      <c r="E192" s="268"/>
      <c r="F192" s="112"/>
      <c r="G192" s="113"/>
      <c r="H192" s="112"/>
      <c r="I192" s="106"/>
      <c r="J192" s="669"/>
      <c r="K192" s="268"/>
      <c r="L192" s="106"/>
      <c r="M192" s="106"/>
      <c r="N192" s="270"/>
      <c r="O192" s="268"/>
      <c r="P192" s="112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215"/>
      <c r="AB192" s="123"/>
    </row>
    <row r="193" spans="1:28" ht="16.5" thickBot="1">
      <c r="A193" s="346"/>
      <c r="B193" s="347"/>
      <c r="C193" s="348" t="s">
        <v>73</v>
      </c>
      <c r="D193" s="385"/>
      <c r="E193" s="353"/>
      <c r="F193" s="363"/>
      <c r="G193" s="340"/>
      <c r="H193" s="338"/>
      <c r="I193" s="337"/>
      <c r="J193" s="668"/>
      <c r="K193" s="353"/>
      <c r="L193" s="337"/>
      <c r="M193" s="337"/>
      <c r="N193" s="352"/>
      <c r="O193" s="353"/>
      <c r="P193" s="338"/>
      <c r="Q193" s="337"/>
      <c r="R193" s="337"/>
      <c r="S193" s="337"/>
      <c r="T193" s="337"/>
      <c r="U193" s="337"/>
      <c r="V193" s="337"/>
      <c r="W193" s="337"/>
      <c r="X193" s="337"/>
      <c r="Y193" s="357"/>
      <c r="Z193" s="337"/>
      <c r="AA193" s="356">
        <f>ROUND(E193+G193+I193+K193+L193+M193+N193+O193+Q193+S193+T193+U193+V193+X193+Y193+Z193,3)</f>
        <v>0</v>
      </c>
      <c r="AB193" s="344">
        <f>AA193*B193</f>
        <v>0</v>
      </c>
    </row>
    <row r="194" spans="1:28" ht="15.75">
      <c r="A194" s="136"/>
      <c r="B194" s="6"/>
      <c r="C194" s="75"/>
      <c r="D194" s="298"/>
      <c r="E194" s="271"/>
      <c r="F194" s="112"/>
      <c r="G194" s="105"/>
      <c r="H194" s="112"/>
      <c r="I194" s="105"/>
      <c r="J194" s="112"/>
      <c r="K194" s="105"/>
      <c r="L194" s="105"/>
      <c r="M194" s="105"/>
      <c r="N194" s="105"/>
      <c r="O194" s="105"/>
      <c r="P194" s="112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25"/>
      <c r="AB194" s="126">
        <f>AB127+AB129+AB131+AB133+AB135+AB137+AB139+AB141+AB143+AB145+AB147+AB149+AB151+AB161+AB163+AB165+AB167+AB169+AB171+AB173+AB175+AB177+AB179+AB181+AB183+AB185+AB187+AB189+AB191+AB193</f>
        <v>8761.6311999999998</v>
      </c>
    </row>
    <row r="196" spans="1:28">
      <c r="A196" s="43" t="s">
        <v>316</v>
      </c>
      <c r="S196" s="43" t="s">
        <v>30</v>
      </c>
      <c r="AB196" s="118">
        <f>K112</f>
        <v>11000</v>
      </c>
    </row>
    <row r="197" spans="1:28">
      <c r="A197" s="43" t="s">
        <v>50</v>
      </c>
      <c r="S197" s="43" t="s">
        <v>31</v>
      </c>
    </row>
    <row r="198" spans="1:28">
      <c r="A198" s="43" t="s">
        <v>320</v>
      </c>
      <c r="S198" s="43" t="s">
        <v>330</v>
      </c>
    </row>
    <row r="199" spans="1:28">
      <c r="A199" s="43" t="s">
        <v>37</v>
      </c>
      <c r="S199" s="43" t="s">
        <v>31</v>
      </c>
    </row>
    <row r="202" spans="1:28">
      <c r="Y202" t="s">
        <v>91</v>
      </c>
    </row>
  </sheetData>
  <mergeCells count="164">
    <mergeCell ref="D21:D23"/>
    <mergeCell ref="S156:S158"/>
    <mergeCell ref="T156:T158"/>
    <mergeCell ref="V156:V158"/>
    <mergeCell ref="AA153:AB153"/>
    <mergeCell ref="E154:K155"/>
    <mergeCell ref="M154:T155"/>
    <mergeCell ref="V154:Z155"/>
    <mergeCell ref="AA154:AB154"/>
    <mergeCell ref="AA155:AB155"/>
    <mergeCell ref="Y156:Y158"/>
    <mergeCell ref="Z156:Z158"/>
    <mergeCell ref="P110:Q110"/>
    <mergeCell ref="E156:E158"/>
    <mergeCell ref="F156:G158"/>
    <mergeCell ref="H156:I158"/>
    <mergeCell ref="L156:L158"/>
    <mergeCell ref="M156:M158"/>
    <mergeCell ref="N156:N158"/>
    <mergeCell ref="AA119:AB119"/>
    <mergeCell ref="Z120:Z122"/>
    <mergeCell ref="W120:X122"/>
    <mergeCell ref="J156:J158"/>
    <mergeCell ref="K156:K158"/>
    <mergeCell ref="R156:R158"/>
    <mergeCell ref="U156:U158"/>
    <mergeCell ref="W156:X158"/>
    <mergeCell ref="Y120:Y122"/>
    <mergeCell ref="N114:O114"/>
    <mergeCell ref="E118:K119"/>
    <mergeCell ref="M118:T119"/>
    <mergeCell ref="V118:Z119"/>
    <mergeCell ref="P156:Q158"/>
    <mergeCell ref="F120:F122"/>
    <mergeCell ref="G120:G122"/>
    <mergeCell ref="E120:E122"/>
    <mergeCell ref="H120:I122"/>
    <mergeCell ref="M120:M122"/>
    <mergeCell ref="N120:O122"/>
    <mergeCell ref="P120:P122"/>
    <mergeCell ref="Q120:Q122"/>
    <mergeCell ref="K120:K122"/>
    <mergeCell ref="O102:AB102"/>
    <mergeCell ref="U57:U59"/>
    <mergeCell ref="D57:D59"/>
    <mergeCell ref="J57:J59"/>
    <mergeCell ref="K57:K59"/>
    <mergeCell ref="R57:R59"/>
    <mergeCell ref="T57:T59"/>
    <mergeCell ref="V57:V59"/>
    <mergeCell ref="D156:D158"/>
    <mergeCell ref="K109:M109"/>
    <mergeCell ref="P106:Q106"/>
    <mergeCell ref="E108:G108"/>
    <mergeCell ref="H108:J108"/>
    <mergeCell ref="K108:M108"/>
    <mergeCell ref="V120:V122"/>
    <mergeCell ref="P108:Q108"/>
    <mergeCell ref="N112:O112"/>
    <mergeCell ref="K112:M112"/>
    <mergeCell ref="D120:D122"/>
    <mergeCell ref="S120:S122"/>
    <mergeCell ref="T120:T122"/>
    <mergeCell ref="O156:O158"/>
    <mergeCell ref="E107:G107"/>
    <mergeCell ref="H107:J107"/>
    <mergeCell ref="AA117:AB117"/>
    <mergeCell ref="H106:J106"/>
    <mergeCell ref="K106:M106"/>
    <mergeCell ref="N106:O106"/>
    <mergeCell ref="A105:C105"/>
    <mergeCell ref="E105:G105"/>
    <mergeCell ref="H105:J105"/>
    <mergeCell ref="K105:M105"/>
    <mergeCell ref="AA105:AB105"/>
    <mergeCell ref="AA106:AB106"/>
    <mergeCell ref="R106:W107"/>
    <mergeCell ref="Y106:Z106"/>
    <mergeCell ref="R110:X111"/>
    <mergeCell ref="B109:C109"/>
    <mergeCell ref="B108:C108"/>
    <mergeCell ref="B107:C107"/>
    <mergeCell ref="K107:M107"/>
    <mergeCell ref="N107:O107"/>
    <mergeCell ref="P107:Q107"/>
    <mergeCell ref="A106:C106"/>
    <mergeCell ref="E106:G106"/>
    <mergeCell ref="B9:C9"/>
    <mergeCell ref="E9:G9"/>
    <mergeCell ref="H9:J9"/>
    <mergeCell ref="K9:M9"/>
    <mergeCell ref="P9:Q9"/>
    <mergeCell ref="B10:C10"/>
    <mergeCell ref="K10:M10"/>
    <mergeCell ref="AA118:AB118"/>
    <mergeCell ref="T21:T23"/>
    <mergeCell ref="V21:V23"/>
    <mergeCell ref="E21:E23"/>
    <mergeCell ref="H21:I23"/>
    <mergeCell ref="M21:M23"/>
    <mergeCell ref="AA54:AB54"/>
    <mergeCell ref="E55:K56"/>
    <mergeCell ref="M55:T56"/>
    <mergeCell ref="V55:Z56"/>
    <mergeCell ref="AA55:AB55"/>
    <mergeCell ref="AA56:AB56"/>
    <mergeCell ref="Y57:Y59"/>
    <mergeCell ref="Z57:Z59"/>
    <mergeCell ref="N57:N59"/>
    <mergeCell ref="O57:O59"/>
    <mergeCell ref="F21:F23"/>
    <mergeCell ref="AA19:AB19"/>
    <mergeCell ref="AA20:AB20"/>
    <mergeCell ref="W21:X23"/>
    <mergeCell ref="N21:O23"/>
    <mergeCell ref="G21:G23"/>
    <mergeCell ref="P57:Q59"/>
    <mergeCell ref="S57:S59"/>
    <mergeCell ref="Y21:Y23"/>
    <mergeCell ref="Z21:Z23"/>
    <mergeCell ref="S21:S23"/>
    <mergeCell ref="F57:G59"/>
    <mergeCell ref="H57:I59"/>
    <mergeCell ref="L57:L59"/>
    <mergeCell ref="M57:M59"/>
    <mergeCell ref="E19:K20"/>
    <mergeCell ref="M19:T20"/>
    <mergeCell ref="E57:E59"/>
    <mergeCell ref="R7:W8"/>
    <mergeCell ref="Y7:Z7"/>
    <mergeCell ref="K13:M13"/>
    <mergeCell ref="N15:O15"/>
    <mergeCell ref="N13:O13"/>
    <mergeCell ref="P11:Q11"/>
    <mergeCell ref="V19:Z20"/>
    <mergeCell ref="W57:X59"/>
    <mergeCell ref="P21:P23"/>
    <mergeCell ref="Q21:Q23"/>
    <mergeCell ref="R11:X12"/>
    <mergeCell ref="K21:K23"/>
    <mergeCell ref="AA18:AB18"/>
    <mergeCell ref="L21:L23"/>
    <mergeCell ref="L120:L122"/>
    <mergeCell ref="U120:U122"/>
    <mergeCell ref="U21:U23"/>
    <mergeCell ref="O3:AB3"/>
    <mergeCell ref="A6:C6"/>
    <mergeCell ref="E6:G6"/>
    <mergeCell ref="H6:J6"/>
    <mergeCell ref="K6:M6"/>
    <mergeCell ref="AA6:AB6"/>
    <mergeCell ref="AA7:AB7"/>
    <mergeCell ref="B8:C8"/>
    <mergeCell ref="E8:G8"/>
    <mergeCell ref="H8:J8"/>
    <mergeCell ref="K8:M8"/>
    <mergeCell ref="N8:O8"/>
    <mergeCell ref="P8:Q8"/>
    <mergeCell ref="A7:C7"/>
    <mergeCell ref="E7:G7"/>
    <mergeCell ref="H7:J7"/>
    <mergeCell ref="K7:M7"/>
    <mergeCell ref="N7:O7"/>
    <mergeCell ref="P7:Q7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191"/>
  <sheetViews>
    <sheetView showGridLines="0" topLeftCell="A174" zoomScale="95" zoomScaleNormal="95" workbookViewId="0">
      <selection activeCell="M175" sqref="M175"/>
    </sheetView>
  </sheetViews>
  <sheetFormatPr defaultRowHeight="12.75"/>
  <cols>
    <col min="1" max="1" width="17.140625" customWidth="1"/>
    <col min="2" max="2" width="7.5703125" customWidth="1"/>
    <col min="3" max="3" width="4.28515625" customWidth="1"/>
    <col min="4" max="4" width="5.28515625" customWidth="1"/>
    <col min="5" max="5" width="6.5703125" customWidth="1"/>
    <col min="6" max="6" width="6" customWidth="1"/>
    <col min="7" max="7" width="8" customWidth="1"/>
    <col min="8" max="8" width="4.7109375" customWidth="1"/>
    <col min="9" max="9" width="7.85546875" customWidth="1"/>
    <col min="10" max="10" width="6.85546875" customWidth="1"/>
    <col min="11" max="11" width="0.28515625" customWidth="1"/>
    <col min="12" max="12" width="8.28515625" customWidth="1"/>
    <col min="13" max="13" width="7.140625" customWidth="1"/>
    <col min="14" max="14" width="8.140625" customWidth="1"/>
    <col min="15" max="15" width="6.5703125" customWidth="1"/>
    <col min="16" max="16" width="6.42578125" customWidth="1"/>
    <col min="17" max="17" width="8" customWidth="1"/>
    <col min="18" max="18" width="0.140625" customWidth="1"/>
    <col min="19" max="19" width="8" customWidth="1"/>
    <col min="20" max="20" width="7.28515625" customWidth="1"/>
    <col min="21" max="21" width="6.5703125" customWidth="1"/>
    <col min="22" max="22" width="0.140625" customWidth="1"/>
    <col min="23" max="23" width="8.28515625" customWidth="1"/>
    <col min="24" max="24" width="5.28515625" customWidth="1"/>
    <col min="25" max="25" width="6.7109375" customWidth="1"/>
    <col min="26" max="26" width="7.42578125" customWidth="1"/>
    <col min="27" max="27" width="6.42578125" customWidth="1"/>
    <col min="28" max="28" width="0.42578125" hidden="1" customWidth="1"/>
    <col min="29" max="29" width="7.7109375" customWidth="1"/>
    <col min="30" max="30" width="9.7109375" customWidth="1"/>
    <col min="31" max="31" width="4.7109375" customWidth="1"/>
  </cols>
  <sheetData>
    <row r="1" spans="1:36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7"/>
      <c r="W1" s="10"/>
      <c r="X1" s="10"/>
      <c r="Y1" s="10"/>
      <c r="Z1" s="10"/>
      <c r="AA1" s="10"/>
      <c r="AB1" s="10"/>
      <c r="AC1" s="11"/>
      <c r="AD1" s="11"/>
      <c r="AE1" s="7"/>
      <c r="AF1" s="7"/>
      <c r="AG1" s="7"/>
      <c r="AH1" s="7"/>
      <c r="AI1" s="7"/>
      <c r="AJ1" s="7"/>
    </row>
    <row r="2" spans="1:36" ht="6.75" customHeight="1">
      <c r="A2" s="3" t="s">
        <v>325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7"/>
      <c r="W2" s="10"/>
      <c r="X2" s="10"/>
      <c r="Y2" s="10"/>
      <c r="Z2" s="10"/>
      <c r="AA2" s="10"/>
      <c r="AB2" s="10"/>
      <c r="AC2" s="11"/>
      <c r="AD2" s="11"/>
      <c r="AE2" s="7"/>
      <c r="AF2" s="7"/>
      <c r="AG2" s="7"/>
      <c r="AH2" s="7"/>
      <c r="AI2" s="7"/>
      <c r="AJ2" s="7"/>
    </row>
    <row r="3" spans="1:36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1060" t="s">
        <v>80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15"/>
      <c r="AF3" s="115"/>
      <c r="AG3" s="7"/>
      <c r="AH3" s="7"/>
      <c r="AI3" s="7"/>
      <c r="AJ3" s="7"/>
    </row>
    <row r="4" spans="1:36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  <c r="AE4" s="7"/>
      <c r="AF4" s="7"/>
      <c r="AG4" s="7"/>
      <c r="AH4" s="7"/>
      <c r="AI4" s="7"/>
      <c r="AJ4" s="7"/>
    </row>
    <row r="5" spans="1:36" ht="4.5" customHeight="1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2"/>
      <c r="N5" s="3"/>
      <c r="O5" s="2"/>
      <c r="P5" s="2"/>
      <c r="Q5" s="2"/>
      <c r="R5" s="2"/>
      <c r="S5" s="2"/>
      <c r="T5" s="2"/>
      <c r="U5" s="1"/>
      <c r="V5" s="7"/>
      <c r="W5" s="7"/>
      <c r="X5" s="7"/>
      <c r="Y5" s="7"/>
      <c r="Z5" s="7"/>
      <c r="AA5" s="7"/>
      <c r="AB5" s="7"/>
      <c r="AE5" s="7"/>
      <c r="AF5" s="7"/>
      <c r="AG5" s="7"/>
      <c r="AH5" s="7"/>
      <c r="AI5" s="7"/>
      <c r="AJ5" s="7"/>
    </row>
    <row r="6" spans="1:36" ht="15.75" customHeight="1" thickBot="1">
      <c r="A6" s="1048" t="s">
        <v>42</v>
      </c>
      <c r="B6" s="1048"/>
      <c r="C6" s="1048"/>
      <c r="D6" s="448"/>
      <c r="E6" s="1047" t="s">
        <v>35</v>
      </c>
      <c r="F6" s="1048"/>
      <c r="G6" s="1049"/>
      <c r="H6" s="1047" t="s">
        <v>60</v>
      </c>
      <c r="I6" s="1048"/>
      <c r="J6" s="1047" t="s">
        <v>58</v>
      </c>
      <c r="K6" s="1048"/>
      <c r="L6" s="1048"/>
      <c r="M6" s="1048"/>
      <c r="N6" s="31"/>
      <c r="O6" s="21"/>
      <c r="P6" s="31"/>
      <c r="Q6" s="21"/>
      <c r="R6" s="3"/>
      <c r="S6" s="3"/>
      <c r="T6" s="7"/>
      <c r="U6" s="7"/>
      <c r="V6" s="7"/>
      <c r="W6" s="7"/>
      <c r="X6" s="7"/>
      <c r="Y6" s="7"/>
      <c r="Z6" s="7"/>
      <c r="AA6" s="1088"/>
      <c r="AB6" s="1252"/>
      <c r="AC6" s="1252" t="s">
        <v>0</v>
      </c>
      <c r="AD6" s="1089"/>
      <c r="AE6" s="7"/>
      <c r="AF6" s="7"/>
      <c r="AG6" s="7"/>
      <c r="AH6" s="7"/>
      <c r="AI6" s="7"/>
      <c r="AJ6" s="7"/>
    </row>
    <row r="7" spans="1:36" ht="11.25" customHeight="1">
      <c r="A7" s="1059" t="s">
        <v>43</v>
      </c>
      <c r="B7" s="1059"/>
      <c r="C7" s="1059"/>
      <c r="D7" s="449"/>
      <c r="E7" s="1065" t="s">
        <v>34</v>
      </c>
      <c r="F7" s="1066"/>
      <c r="G7" s="1067"/>
      <c r="H7" s="1065" t="s">
        <v>12</v>
      </c>
      <c r="I7" s="1066"/>
      <c r="J7" s="1065" t="s">
        <v>15</v>
      </c>
      <c r="K7" s="1066"/>
      <c r="L7" s="1066"/>
      <c r="M7" s="1108"/>
      <c r="N7" s="1065" t="s">
        <v>14</v>
      </c>
      <c r="O7" s="1067"/>
      <c r="P7" s="1065" t="s">
        <v>55</v>
      </c>
      <c r="Q7" s="1067"/>
      <c r="R7" s="536"/>
      <c r="S7" s="1092" t="s">
        <v>224</v>
      </c>
      <c r="T7" s="1093"/>
      <c r="U7" s="1093"/>
      <c r="V7" s="1093"/>
      <c r="W7" s="1093"/>
      <c r="X7" s="1093"/>
      <c r="Y7" s="1050" t="s">
        <v>190</v>
      </c>
      <c r="Z7" s="1156"/>
      <c r="AA7" s="1253"/>
      <c r="AB7" s="1254"/>
      <c r="AC7" s="1248" t="s">
        <v>23</v>
      </c>
      <c r="AD7" s="1091"/>
      <c r="AE7" s="7"/>
      <c r="AF7" s="7"/>
      <c r="AG7" s="7"/>
      <c r="AH7" s="7"/>
      <c r="AI7" s="7"/>
      <c r="AJ7" s="7"/>
    </row>
    <row r="8" spans="1:36" ht="10.5" customHeight="1" thickBot="1">
      <c r="A8" s="212" t="s">
        <v>44</v>
      </c>
      <c r="B8" s="1047" t="s">
        <v>46</v>
      </c>
      <c r="C8" s="1048"/>
      <c r="D8" s="449"/>
      <c r="E8" s="1065" t="s">
        <v>39</v>
      </c>
      <c r="F8" s="1066"/>
      <c r="G8" s="1067"/>
      <c r="H8" s="1065" t="s">
        <v>49</v>
      </c>
      <c r="I8" s="1066"/>
      <c r="J8" s="1065" t="s">
        <v>59</v>
      </c>
      <c r="K8" s="1066"/>
      <c r="L8" s="1066"/>
      <c r="M8" s="1066"/>
      <c r="N8" s="1065" t="s">
        <v>40</v>
      </c>
      <c r="O8" s="1067"/>
      <c r="P8" s="1065" t="s">
        <v>56</v>
      </c>
      <c r="Q8" s="1067"/>
      <c r="R8" s="536"/>
      <c r="S8" s="1093"/>
      <c r="T8" s="1093"/>
      <c r="U8" s="1093"/>
      <c r="V8" s="1093"/>
      <c r="W8" s="1093"/>
      <c r="X8" s="1093"/>
      <c r="AA8" s="53"/>
      <c r="AB8" s="32"/>
      <c r="AC8" s="32"/>
      <c r="AD8" s="56"/>
      <c r="AE8" s="7"/>
      <c r="AF8" s="7"/>
      <c r="AG8" s="7"/>
      <c r="AH8" s="7"/>
      <c r="AI8" s="7"/>
      <c r="AJ8" s="7"/>
    </row>
    <row r="9" spans="1:36" ht="15.75" customHeight="1" thickBot="1">
      <c r="A9" s="211" t="s">
        <v>45</v>
      </c>
      <c r="B9" s="1065" t="s">
        <v>47</v>
      </c>
      <c r="C9" s="1108"/>
      <c r="D9" s="450"/>
      <c r="E9" s="1065" t="s">
        <v>38</v>
      </c>
      <c r="F9" s="1066"/>
      <c r="G9" s="1067"/>
      <c r="H9" s="1065" t="s">
        <v>13</v>
      </c>
      <c r="I9" s="1066"/>
      <c r="J9" s="1065" t="s">
        <v>38</v>
      </c>
      <c r="K9" s="1066"/>
      <c r="L9" s="1066"/>
      <c r="M9" s="1066"/>
      <c r="N9" s="25"/>
      <c r="O9" s="3"/>
      <c r="P9" s="1065" t="s">
        <v>57</v>
      </c>
      <c r="Q9" s="1067"/>
      <c r="R9" s="536"/>
      <c r="S9" s="3" t="s">
        <v>194</v>
      </c>
      <c r="T9" s="548"/>
      <c r="U9" s="548"/>
      <c r="V9" s="120"/>
      <c r="W9" s="120"/>
      <c r="X9" s="120"/>
      <c r="Y9" s="120"/>
      <c r="Z9" s="746" t="s">
        <v>191</v>
      </c>
      <c r="AA9" s="749"/>
      <c r="AB9" s="752"/>
      <c r="AC9" s="754"/>
      <c r="AD9" s="745"/>
      <c r="AE9" s="120"/>
      <c r="AF9" s="120"/>
      <c r="AG9" s="7"/>
      <c r="AH9" s="7"/>
      <c r="AI9" s="7"/>
      <c r="AJ9" s="7"/>
    </row>
    <row r="10" spans="1:36" ht="6.75" customHeight="1">
      <c r="A10" s="17"/>
      <c r="B10" s="1058" t="s">
        <v>48</v>
      </c>
      <c r="C10" s="1059"/>
      <c r="D10" s="449"/>
      <c r="E10" s="33"/>
      <c r="F10" s="3"/>
      <c r="G10" s="30"/>
      <c r="H10" s="3"/>
      <c r="I10" s="3"/>
      <c r="J10" s="1058"/>
      <c r="K10" s="1059"/>
      <c r="L10" s="1059"/>
      <c r="M10" s="1059"/>
      <c r="N10" s="25"/>
      <c r="O10" s="3"/>
      <c r="P10" s="25"/>
      <c r="Q10" s="17"/>
      <c r="R10" s="3"/>
      <c r="T10" s="709" t="s">
        <v>96</v>
      </c>
      <c r="Z10" s="32"/>
      <c r="AA10" s="54"/>
      <c r="AB10" s="32"/>
      <c r="AC10" s="32"/>
      <c r="AD10" s="56"/>
    </row>
    <row r="11" spans="1:36" ht="11.25" customHeight="1" thickBot="1">
      <c r="A11" s="58">
        <v>1</v>
      </c>
      <c r="B11" s="62"/>
      <c r="C11" s="63">
        <v>2</v>
      </c>
      <c r="D11" s="292"/>
      <c r="E11" s="161"/>
      <c r="F11" s="161">
        <v>3</v>
      </c>
      <c r="G11" s="162"/>
      <c r="H11" s="161"/>
      <c r="I11" s="161">
        <v>4</v>
      </c>
      <c r="J11" s="161"/>
      <c r="K11" s="161"/>
      <c r="L11" s="615"/>
      <c r="M11" s="161">
        <v>5</v>
      </c>
      <c r="N11" s="164"/>
      <c r="O11" s="161"/>
      <c r="P11" s="1104">
        <v>7</v>
      </c>
      <c r="Q11" s="1105"/>
      <c r="R11" s="537"/>
      <c r="S11" s="1074" t="s">
        <v>307</v>
      </c>
      <c r="T11" s="1061"/>
      <c r="U11" s="1061"/>
      <c r="V11" s="1061"/>
      <c r="W11" s="1061"/>
      <c r="X11" s="1061"/>
      <c r="Y11" s="1061"/>
      <c r="Z11" s="699" t="s">
        <v>199</v>
      </c>
      <c r="AA11" s="705"/>
      <c r="AB11" s="750"/>
      <c r="AC11" s="705"/>
      <c r="AD11" s="744"/>
      <c r="AE11" s="7"/>
      <c r="AF11" s="7"/>
      <c r="AG11" s="7"/>
      <c r="AH11" s="7"/>
      <c r="AI11" s="7"/>
      <c r="AJ11" s="7"/>
    </row>
    <row r="12" spans="1:36" ht="9.75" customHeight="1">
      <c r="A12" s="37"/>
      <c r="B12" s="38"/>
      <c r="C12" s="38"/>
      <c r="D12" s="38"/>
      <c r="E12" s="38"/>
      <c r="F12" s="38"/>
      <c r="G12" s="39"/>
      <c r="H12" s="38"/>
      <c r="I12" s="38"/>
      <c r="J12" s="38"/>
      <c r="K12" s="38"/>
      <c r="L12" s="38"/>
      <c r="M12" s="38"/>
      <c r="N12" s="40"/>
      <c r="O12" s="39"/>
      <c r="P12" s="41"/>
      <c r="Q12" s="42"/>
      <c r="R12" s="3"/>
      <c r="S12" s="1061"/>
      <c r="T12" s="1061"/>
      <c r="U12" s="1061"/>
      <c r="V12" s="1061"/>
      <c r="W12" s="1061"/>
      <c r="X12" s="1061"/>
      <c r="Y12" s="1061"/>
      <c r="Z12" s="56"/>
      <c r="AA12" s="32"/>
      <c r="AB12" s="8"/>
      <c r="AC12" s="32"/>
      <c r="AD12" s="703"/>
      <c r="AE12" s="7"/>
      <c r="AF12" s="7"/>
      <c r="AG12" s="7"/>
      <c r="AH12" s="7"/>
      <c r="AI12" s="7"/>
      <c r="AJ12" s="7"/>
    </row>
    <row r="13" spans="1:36" ht="18" customHeight="1" thickBot="1">
      <c r="A13" s="780" t="s">
        <v>202</v>
      </c>
      <c r="B13" s="28"/>
      <c r="C13" s="28"/>
      <c r="D13" s="28"/>
      <c r="E13" s="28"/>
      <c r="F13" s="28"/>
      <c r="G13" s="218">
        <v>110</v>
      </c>
      <c r="H13" s="28"/>
      <c r="I13" s="140">
        <f>B25</f>
        <v>100</v>
      </c>
      <c r="J13" s="1075">
        <f>G13*I13</f>
        <v>11000</v>
      </c>
      <c r="K13" s="1114"/>
      <c r="L13" s="1114"/>
      <c r="M13" s="1069"/>
      <c r="N13" s="1068">
        <f>AD91/B25</f>
        <v>112.10652199999998</v>
      </c>
      <c r="O13" s="1069"/>
      <c r="P13" s="14"/>
      <c r="Q13" s="52"/>
      <c r="R13" s="3"/>
      <c r="S13" s="3"/>
      <c r="T13" s="710" t="s">
        <v>308</v>
      </c>
      <c r="U13" s="2"/>
      <c r="V13" s="538"/>
      <c r="W13" s="7"/>
      <c r="X13" s="7"/>
      <c r="Y13" s="7"/>
      <c r="Z13" s="699"/>
      <c r="AA13" s="753"/>
      <c r="AB13" s="750"/>
      <c r="AC13" s="705"/>
      <c r="AD13" s="704"/>
      <c r="AE13" s="7"/>
      <c r="AF13" s="7"/>
      <c r="AG13" s="7"/>
      <c r="AH13" s="7"/>
      <c r="AI13" s="7"/>
      <c r="AJ13" s="7"/>
    </row>
    <row r="14" spans="1:36" ht="4.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28"/>
      <c r="K14" s="28"/>
      <c r="L14" s="28"/>
      <c r="M14" s="28"/>
      <c r="N14" s="51"/>
      <c r="O14" s="27"/>
      <c r="P14" s="14"/>
      <c r="Q14" s="52"/>
      <c r="R14" s="3"/>
      <c r="S14" s="3"/>
      <c r="T14" s="7"/>
      <c r="U14" s="7"/>
      <c r="Y14" s="32"/>
      <c r="Z14" s="56"/>
      <c r="AA14" s="32"/>
      <c r="AB14" s="8"/>
      <c r="AC14" s="32"/>
      <c r="AD14" s="56"/>
      <c r="AE14" s="7"/>
      <c r="AF14" s="7"/>
      <c r="AG14" s="7"/>
      <c r="AH14" s="7"/>
      <c r="AI14" s="7"/>
      <c r="AJ14" s="7"/>
    </row>
    <row r="15" spans="1:36" ht="16.5" customHeight="1" thickBot="1">
      <c r="A15" s="769"/>
      <c r="B15" s="38"/>
      <c r="C15" s="38"/>
      <c r="D15" s="38"/>
      <c r="E15" s="38"/>
      <c r="F15" s="38"/>
      <c r="G15" s="38"/>
      <c r="H15" s="38"/>
      <c r="I15" s="42" t="s">
        <v>33</v>
      </c>
      <c r="J15" s="3"/>
      <c r="K15" s="3"/>
      <c r="L15" s="3"/>
      <c r="M15" s="3"/>
      <c r="N15" s="1246">
        <f>N13*B25</f>
        <v>11210.652199999999</v>
      </c>
      <c r="O15" s="1247"/>
      <c r="P15" s="32"/>
      <c r="Q15" s="15"/>
      <c r="R15" s="3"/>
      <c r="S15" s="3" t="s">
        <v>193</v>
      </c>
      <c r="T15" s="7"/>
      <c r="U15" s="7"/>
      <c r="V15" s="549"/>
      <c r="W15" s="711" t="s">
        <v>309</v>
      </c>
      <c r="Z15" s="56"/>
      <c r="AA15" s="66"/>
      <c r="AB15" s="750"/>
      <c r="AC15" s="747"/>
      <c r="AD15" s="67"/>
      <c r="AE15" s="7"/>
      <c r="AF15" s="7"/>
      <c r="AG15" s="7"/>
      <c r="AH15" s="7"/>
      <c r="AI15" s="7"/>
      <c r="AJ15" s="7"/>
    </row>
    <row r="16" spans="1:36" ht="14.25" customHeight="1">
      <c r="A16" s="3"/>
      <c r="B16" s="3"/>
      <c r="C16" s="3"/>
      <c r="D16" s="3"/>
      <c r="E16" s="3"/>
      <c r="F16" s="3"/>
      <c r="G16" s="3"/>
      <c r="H16" s="3"/>
      <c r="I16" s="3"/>
      <c r="J16" s="38"/>
      <c r="K16" s="38"/>
      <c r="L16" s="38"/>
      <c r="M16" s="38"/>
      <c r="N16" s="38"/>
      <c r="O16" s="38"/>
      <c r="P16" s="41"/>
      <c r="Q16" s="38"/>
      <c r="R16" s="3"/>
      <c r="S16" s="3"/>
      <c r="T16" s="7"/>
      <c r="U16" s="7"/>
      <c r="Z16" s="32"/>
      <c r="AA16" s="32"/>
      <c r="AE16" s="7"/>
      <c r="AF16" s="7"/>
      <c r="AG16" s="7"/>
      <c r="AH16" s="7"/>
      <c r="AI16" s="7"/>
      <c r="AJ16" s="7"/>
    </row>
    <row r="17" spans="1:36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7"/>
      <c r="V17" s="7"/>
      <c r="W17" s="7"/>
      <c r="X17" s="7"/>
      <c r="Y17" s="7"/>
      <c r="Z17" s="7"/>
      <c r="AA17" s="7"/>
      <c r="AB17" s="7"/>
      <c r="AC17" s="8"/>
      <c r="AD17" s="8"/>
      <c r="AE17" s="7"/>
      <c r="AF17" s="7"/>
      <c r="AG17" s="7"/>
      <c r="AH17" s="7"/>
      <c r="AI17" s="7"/>
      <c r="AJ17" s="7"/>
    </row>
    <row r="18" spans="1:36" ht="12" customHeight="1">
      <c r="A18" s="26" t="s">
        <v>53</v>
      </c>
      <c r="B18" s="20"/>
      <c r="C18" s="65"/>
      <c r="D18" s="488"/>
      <c r="E18" s="14"/>
      <c r="F18" s="14"/>
      <c r="G18" s="14"/>
      <c r="H18" s="14"/>
      <c r="I18" s="14"/>
      <c r="J18" s="14"/>
      <c r="K18" s="14"/>
      <c r="L18" s="14"/>
      <c r="M18" s="14"/>
      <c r="N18" s="28" t="s">
        <v>41</v>
      </c>
      <c r="O18" s="14"/>
      <c r="P18" s="14"/>
      <c r="Q18" s="14"/>
      <c r="R18" s="14"/>
      <c r="S18" s="14"/>
      <c r="T18" s="28"/>
      <c r="U18" s="28"/>
      <c r="V18" s="14"/>
      <c r="W18" s="14"/>
      <c r="X18" s="14"/>
      <c r="Y18" s="14"/>
      <c r="Z18" s="14"/>
      <c r="AA18" s="14"/>
      <c r="AB18" s="14"/>
      <c r="AC18" s="1047" t="s">
        <v>8</v>
      </c>
      <c r="AD18" s="1048"/>
      <c r="AE18" s="7"/>
      <c r="AF18" s="7"/>
      <c r="AG18" s="7"/>
      <c r="AH18" s="7"/>
      <c r="AI18" s="7"/>
      <c r="AJ18" s="7"/>
    </row>
    <row r="19" spans="1:36" ht="12" customHeight="1">
      <c r="A19" s="168"/>
      <c r="B19" s="19"/>
      <c r="C19" s="896" t="s">
        <v>52</v>
      </c>
      <c r="D19" s="885"/>
      <c r="E19" s="1052" t="s">
        <v>108</v>
      </c>
      <c r="F19" s="1084"/>
      <c r="G19" s="1084"/>
      <c r="H19" s="1084"/>
      <c r="I19" s="1084"/>
      <c r="J19" s="1084"/>
      <c r="K19" s="927"/>
      <c r="L19" s="853" t="s">
        <v>69</v>
      </c>
      <c r="M19" s="1139" t="s">
        <v>16</v>
      </c>
      <c r="N19" s="1052"/>
      <c r="O19" s="1052"/>
      <c r="P19" s="1052"/>
      <c r="Q19" s="1052"/>
      <c r="R19" s="1052"/>
      <c r="S19" s="1052"/>
      <c r="T19" s="1052"/>
      <c r="U19" s="1087"/>
      <c r="V19" s="1052" t="s">
        <v>17</v>
      </c>
      <c r="W19" s="1052"/>
      <c r="X19" s="1052"/>
      <c r="Y19" s="1052"/>
      <c r="Z19" s="1052"/>
      <c r="AA19" s="1052"/>
      <c r="AB19" s="1052"/>
      <c r="AC19" s="1062" t="s">
        <v>3</v>
      </c>
      <c r="AD19" s="1059"/>
      <c r="AE19" s="7"/>
      <c r="AF19" s="7"/>
      <c r="AG19" s="7"/>
      <c r="AH19" s="7"/>
      <c r="AI19" s="7"/>
      <c r="AJ19" s="7"/>
    </row>
    <row r="20" spans="1:36" ht="6.75" customHeight="1">
      <c r="A20" s="167"/>
      <c r="B20" s="5"/>
      <c r="C20" s="896" t="s">
        <v>51</v>
      </c>
      <c r="D20" s="895"/>
      <c r="E20" s="1054"/>
      <c r="F20" s="1054"/>
      <c r="G20" s="1054"/>
      <c r="H20" s="1054"/>
      <c r="I20" s="1054"/>
      <c r="J20" s="1054"/>
      <c r="K20" s="926"/>
      <c r="L20" s="854"/>
      <c r="M20" s="1140"/>
      <c r="N20" s="1054"/>
      <c r="O20" s="1054"/>
      <c r="P20" s="1054"/>
      <c r="Q20" s="1054"/>
      <c r="R20" s="1054"/>
      <c r="S20" s="1054"/>
      <c r="T20" s="1054"/>
      <c r="U20" s="1086"/>
      <c r="V20" s="1054"/>
      <c r="W20" s="1054"/>
      <c r="X20" s="1054"/>
      <c r="Y20" s="1054"/>
      <c r="Z20" s="1054"/>
      <c r="AA20" s="1054"/>
      <c r="AB20" s="1054"/>
      <c r="AC20" s="1063" t="s">
        <v>36</v>
      </c>
      <c r="AD20" s="1064"/>
      <c r="AE20" s="8"/>
      <c r="AF20" s="7"/>
      <c r="AG20" s="7"/>
      <c r="AH20" s="7"/>
      <c r="AI20" s="7"/>
      <c r="AJ20" s="7"/>
    </row>
    <row r="21" spans="1:36" ht="10.5" customHeight="1">
      <c r="A21" s="167" t="s">
        <v>54</v>
      </c>
      <c r="B21" s="5"/>
      <c r="C21" s="70" t="s">
        <v>9</v>
      </c>
      <c r="D21" s="1101" t="s">
        <v>168</v>
      </c>
      <c r="E21" s="1081" t="s">
        <v>169</v>
      </c>
      <c r="F21" s="1041" t="s">
        <v>154</v>
      </c>
      <c r="G21" s="1145"/>
      <c r="H21" s="1041" t="s">
        <v>248</v>
      </c>
      <c r="I21" s="1129"/>
      <c r="J21" s="1038" t="s">
        <v>127</v>
      </c>
      <c r="K21" s="1038"/>
      <c r="L21" s="1035" t="s">
        <v>131</v>
      </c>
      <c r="M21" s="1044" t="s">
        <v>261</v>
      </c>
      <c r="N21" s="1035" t="s">
        <v>141</v>
      </c>
      <c r="O21" s="1038" t="s">
        <v>92</v>
      </c>
      <c r="P21" s="1041" t="s">
        <v>265</v>
      </c>
      <c r="Q21" s="1149" t="s">
        <v>264</v>
      </c>
      <c r="R21" s="1041" t="s">
        <v>161</v>
      </c>
      <c r="S21" s="1096"/>
      <c r="T21" s="1041" t="s">
        <v>63</v>
      </c>
      <c r="U21" s="1044" t="s">
        <v>68</v>
      </c>
      <c r="V21" s="1044"/>
      <c r="W21" s="1078" t="s">
        <v>262</v>
      </c>
      <c r="X21" s="626"/>
      <c r="Y21" s="1038" t="s">
        <v>263</v>
      </c>
      <c r="Z21" s="1044" t="s">
        <v>156</v>
      </c>
      <c r="AA21" s="1038" t="s">
        <v>70</v>
      </c>
      <c r="AB21" s="1211"/>
      <c r="AC21" s="24"/>
      <c r="AD21" s="23"/>
      <c r="AE21" s="7"/>
      <c r="AF21" s="7"/>
      <c r="AG21" s="7"/>
      <c r="AH21" s="7"/>
      <c r="AI21" s="7"/>
      <c r="AJ21" s="7"/>
    </row>
    <row r="22" spans="1:36" ht="10.5" customHeight="1">
      <c r="A22" s="167"/>
      <c r="B22" s="5"/>
      <c r="C22" s="70" t="s">
        <v>10</v>
      </c>
      <c r="D22" s="1102"/>
      <c r="E22" s="1082"/>
      <c r="F22" s="1042"/>
      <c r="G22" s="1241"/>
      <c r="H22" s="1042"/>
      <c r="I22" s="1239"/>
      <c r="J22" s="1039"/>
      <c r="K22" s="1039"/>
      <c r="L22" s="1036"/>
      <c r="M22" s="1045"/>
      <c r="N22" s="1036"/>
      <c r="O22" s="1039"/>
      <c r="P22" s="1042"/>
      <c r="Q22" s="1150"/>
      <c r="R22" s="1097"/>
      <c r="S22" s="1098"/>
      <c r="T22" s="1042"/>
      <c r="U22" s="1045"/>
      <c r="V22" s="1045"/>
      <c r="W22" s="1079"/>
      <c r="X22" s="627"/>
      <c r="Y22" s="1146"/>
      <c r="Z22" s="1045"/>
      <c r="AA22" s="1039"/>
      <c r="AB22" s="1212"/>
      <c r="AC22" s="19" t="s">
        <v>6</v>
      </c>
      <c r="AD22" s="166" t="s">
        <v>4</v>
      </c>
      <c r="AE22" s="7"/>
      <c r="AF22" s="7"/>
      <c r="AG22" s="7"/>
      <c r="AH22" s="7"/>
      <c r="AI22" s="7"/>
      <c r="AJ22" s="7"/>
    </row>
    <row r="23" spans="1:36" ht="93.75" customHeight="1">
      <c r="A23" s="169"/>
      <c r="B23" s="4">
        <v>6</v>
      </c>
      <c r="C23" s="71"/>
      <c r="D23" s="1103"/>
      <c r="E23" s="1083"/>
      <c r="F23" s="1043"/>
      <c r="G23" s="1242"/>
      <c r="H23" s="1043"/>
      <c r="I23" s="1240"/>
      <c r="J23" s="1040"/>
      <c r="K23" s="1040"/>
      <c r="L23" s="1037"/>
      <c r="M23" s="1046"/>
      <c r="N23" s="1037"/>
      <c r="O23" s="1040"/>
      <c r="P23" s="1043"/>
      <c r="Q23" s="1151"/>
      <c r="R23" s="1099"/>
      <c r="S23" s="1100"/>
      <c r="T23" s="1043"/>
      <c r="U23" s="1046"/>
      <c r="V23" s="1046"/>
      <c r="W23" s="1080"/>
      <c r="X23" s="628"/>
      <c r="Y23" s="1131"/>
      <c r="Z23" s="1046"/>
      <c r="AA23" s="1040"/>
      <c r="AB23" s="1213"/>
      <c r="AC23" s="284" t="s">
        <v>7</v>
      </c>
      <c r="AD23" s="165" t="s">
        <v>5</v>
      </c>
      <c r="AE23" s="7"/>
      <c r="AF23" s="7"/>
      <c r="AG23" s="7"/>
      <c r="AH23" s="7"/>
      <c r="AI23" s="7"/>
      <c r="AJ23" s="7"/>
    </row>
    <row r="24" spans="1:36" ht="11.25" customHeight="1">
      <c r="A24" s="64">
        <v>1</v>
      </c>
      <c r="B24" s="34">
        <v>2</v>
      </c>
      <c r="C24" s="72">
        <v>3</v>
      </c>
      <c r="D24" s="76">
        <v>4</v>
      </c>
      <c r="E24" s="80">
        <v>5</v>
      </c>
      <c r="F24" s="86">
        <v>6</v>
      </c>
      <c r="G24" s="76">
        <v>7</v>
      </c>
      <c r="H24" s="87">
        <v>8</v>
      </c>
      <c r="I24" s="80">
        <v>9</v>
      </c>
      <c r="J24" s="95">
        <v>10</v>
      </c>
      <c r="K24" s="96">
        <v>11</v>
      </c>
      <c r="L24" s="96">
        <v>12</v>
      </c>
      <c r="M24" s="81">
        <v>13</v>
      </c>
      <c r="N24" s="82">
        <v>14</v>
      </c>
      <c r="O24" s="93">
        <v>15</v>
      </c>
      <c r="P24" s="97">
        <v>16</v>
      </c>
      <c r="Q24" s="93">
        <v>17</v>
      </c>
      <c r="R24" s="276">
        <v>18</v>
      </c>
      <c r="S24" s="93">
        <v>19</v>
      </c>
      <c r="T24" s="96">
        <v>20</v>
      </c>
      <c r="U24" s="98">
        <v>21</v>
      </c>
      <c r="V24" s="80">
        <v>22</v>
      </c>
      <c r="W24" s="262">
        <v>23</v>
      </c>
      <c r="X24" s="96">
        <v>24</v>
      </c>
      <c r="Y24" s="96">
        <v>25</v>
      </c>
      <c r="Z24" s="81">
        <v>26</v>
      </c>
      <c r="AA24" s="96">
        <v>27</v>
      </c>
      <c r="AB24" s="276">
        <v>23</v>
      </c>
      <c r="AC24" s="86">
        <v>28</v>
      </c>
      <c r="AD24" s="36">
        <v>29</v>
      </c>
      <c r="AE24" s="7"/>
      <c r="AF24" s="7"/>
      <c r="AG24" s="7"/>
      <c r="AH24" s="7"/>
      <c r="AI24" s="7"/>
      <c r="AJ24" s="7"/>
    </row>
    <row r="25" spans="1:36" ht="15.95" customHeight="1">
      <c r="A25" s="16" t="s">
        <v>18</v>
      </c>
      <c r="B25" s="221">
        <v>100</v>
      </c>
      <c r="C25" s="73"/>
      <c r="D25" s="15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99">
        <f>B25</f>
        <v>100</v>
      </c>
      <c r="K25" s="99"/>
      <c r="L25" s="99">
        <f>B25</f>
        <v>100</v>
      </c>
      <c r="M25" s="99">
        <f>B25</f>
        <v>100</v>
      </c>
      <c r="N25" s="99">
        <f>B25</f>
        <v>100</v>
      </c>
      <c r="O25" s="99">
        <f>B25</f>
        <v>100</v>
      </c>
      <c r="P25" s="109">
        <f>F25</f>
        <v>100</v>
      </c>
      <c r="Q25" s="99">
        <f>B25</f>
        <v>100</v>
      </c>
      <c r="R25" s="540"/>
      <c r="S25" s="99">
        <f>B25</f>
        <v>100</v>
      </c>
      <c r="T25" s="99">
        <f>B25</f>
        <v>100</v>
      </c>
      <c r="U25" s="99">
        <f>B25</f>
        <v>100</v>
      </c>
      <c r="V25" s="99"/>
      <c r="W25" s="436">
        <f>F25</f>
        <v>100</v>
      </c>
      <c r="X25" s="99">
        <f>B25</f>
        <v>100</v>
      </c>
      <c r="Y25" s="99"/>
      <c r="Z25" s="99">
        <f>B25</f>
        <v>100</v>
      </c>
      <c r="AA25" s="99">
        <f>B25</f>
        <v>100</v>
      </c>
      <c r="AB25" s="394"/>
      <c r="AC25" s="285" t="s">
        <v>66</v>
      </c>
      <c r="AD25" s="68" t="s">
        <v>64</v>
      </c>
      <c r="AE25" s="7"/>
      <c r="AF25" s="7"/>
      <c r="AG25" s="7"/>
      <c r="AH25" s="7"/>
      <c r="AI25" s="7"/>
    </row>
    <row r="26" spans="1:36" ht="15.95" customHeight="1" thickBot="1">
      <c r="A26" s="59" t="s">
        <v>19</v>
      </c>
      <c r="B26" s="60"/>
      <c r="C26" s="74"/>
      <c r="D26" s="446">
        <v>25</v>
      </c>
      <c r="E26" s="119">
        <f>D26*F25/B25</f>
        <v>25</v>
      </c>
      <c r="F26" s="91">
        <v>150</v>
      </c>
      <c r="G26" s="119">
        <f>F26*F25/B25</f>
        <v>150</v>
      </c>
      <c r="H26" s="91">
        <v>187</v>
      </c>
      <c r="I26" s="119">
        <f>H26*H25/B25</f>
        <v>187</v>
      </c>
      <c r="J26" s="119">
        <f>J70/B25*1000</f>
        <v>20</v>
      </c>
      <c r="K26" s="119"/>
      <c r="L26" s="119">
        <f>L80/B25*1000</f>
        <v>100</v>
      </c>
      <c r="M26" s="119">
        <v>50</v>
      </c>
      <c r="N26" s="100">
        <v>200</v>
      </c>
      <c r="O26" s="119">
        <f>O42/B25*1000</f>
        <v>5</v>
      </c>
      <c r="P26" s="110">
        <v>70</v>
      </c>
      <c r="Q26" s="119">
        <f>P26*P25/B25</f>
        <v>70</v>
      </c>
      <c r="R26" s="541"/>
      <c r="S26" s="119">
        <v>130</v>
      </c>
      <c r="T26" s="100">
        <v>180</v>
      </c>
      <c r="U26" s="119">
        <f>U72/B25*1000</f>
        <v>40</v>
      </c>
      <c r="V26" s="100"/>
      <c r="W26" s="138">
        <v>80</v>
      </c>
      <c r="X26" s="119">
        <f>W26*F25/B25</f>
        <v>80</v>
      </c>
      <c r="Y26" s="119"/>
      <c r="Z26" s="119">
        <f>Z34/B25/1.05*1000</f>
        <v>179.99999999999997</v>
      </c>
      <c r="AA26" s="119">
        <f>AA74/B25*1000</f>
        <v>20</v>
      </c>
      <c r="AB26" s="395"/>
      <c r="AC26" s="286"/>
      <c r="AD26" s="69"/>
      <c r="AE26" s="7"/>
      <c r="AF26" s="7"/>
      <c r="AG26" s="7"/>
      <c r="AH26" s="7"/>
      <c r="AI26" s="7"/>
    </row>
    <row r="27" spans="1:36" ht="15" customHeight="1" thickTop="1">
      <c r="A27" s="133"/>
      <c r="B27" s="5"/>
      <c r="C27" s="77" t="s">
        <v>72</v>
      </c>
      <c r="D27" s="293"/>
      <c r="E27" s="88"/>
      <c r="F27" s="92"/>
      <c r="G27" s="88"/>
      <c r="H27" s="107"/>
      <c r="I27" s="88"/>
      <c r="J27" s="88"/>
      <c r="K27" s="88"/>
      <c r="L27" s="88"/>
      <c r="M27" s="88"/>
      <c r="N27" s="88"/>
      <c r="O27" s="88"/>
      <c r="P27" s="177">
        <f>75.5/70*P26</f>
        <v>75.5</v>
      </c>
      <c r="Q27" s="129">
        <f>P27/P26*Q26</f>
        <v>75.5</v>
      </c>
      <c r="R27" s="129"/>
      <c r="S27" s="129"/>
      <c r="T27" s="88"/>
      <c r="U27" s="88"/>
      <c r="V27" s="88"/>
      <c r="W27" s="542"/>
      <c r="X27" s="88"/>
      <c r="Y27" s="88"/>
      <c r="Z27" s="88"/>
      <c r="AA27" s="88"/>
      <c r="AB27" s="396"/>
      <c r="AC27" s="287"/>
      <c r="AD27" s="79"/>
      <c r="AE27" s="7"/>
      <c r="AF27" s="7"/>
      <c r="AG27" s="7"/>
      <c r="AH27" s="7"/>
      <c r="AI27" s="7"/>
    </row>
    <row r="28" spans="1:36" ht="15.75" customHeight="1" thickBot="1">
      <c r="A28" s="634" t="s">
        <v>142</v>
      </c>
      <c r="B28" s="347">
        <v>137.69999999999999</v>
      </c>
      <c r="C28" s="348" t="s">
        <v>73</v>
      </c>
      <c r="D28" s="423"/>
      <c r="E28" s="350"/>
      <c r="F28" s="363"/>
      <c r="G28" s="350"/>
      <c r="H28" s="349"/>
      <c r="I28" s="350"/>
      <c r="J28" s="350"/>
      <c r="K28" s="350"/>
      <c r="L28" s="350"/>
      <c r="M28" s="350"/>
      <c r="N28" s="350"/>
      <c r="O28" s="350"/>
      <c r="P28" s="349">
        <f>P27*P25/1000</f>
        <v>7.55</v>
      </c>
      <c r="Q28" s="341">
        <f>P28</f>
        <v>7.55</v>
      </c>
      <c r="R28" s="341"/>
      <c r="S28" s="341"/>
      <c r="T28" s="350"/>
      <c r="U28" s="350"/>
      <c r="V28" s="350"/>
      <c r="W28" s="360"/>
      <c r="X28" s="350"/>
      <c r="Y28" s="350"/>
      <c r="Z28" s="350"/>
      <c r="AA28" s="350"/>
      <c r="AB28" s="397"/>
      <c r="AC28" s="399">
        <f>ROUND(E28+G28+I28+J28+K28+L28+M28+N28+O28+Q28+S28+T28+U28+V28+X28+Z28+AA28+AB28,2)</f>
        <v>7.55</v>
      </c>
      <c r="AD28" s="368">
        <f>AC28*B28</f>
        <v>1039.635</v>
      </c>
      <c r="AE28" s="7"/>
      <c r="AF28" s="223">
        <f t="shared" ref="AF28" si="0">AC28+AC123</f>
        <v>13.95</v>
      </c>
      <c r="AG28" s="7" t="str">
        <f>A28</f>
        <v xml:space="preserve">Минтай с/м потр. </v>
      </c>
      <c r="AH28" s="7"/>
      <c r="AI28" s="7"/>
    </row>
    <row r="29" spans="1:36" ht="15" customHeight="1" thickTop="1">
      <c r="A29" s="133"/>
      <c r="B29" s="121"/>
      <c r="C29" s="77" t="s">
        <v>72</v>
      </c>
      <c r="D29" s="451">
        <v>5</v>
      </c>
      <c r="E29" s="129">
        <f>D29/D26*E26</f>
        <v>5</v>
      </c>
      <c r="F29" s="430">
        <v>4</v>
      </c>
      <c r="G29" s="129">
        <f>F29/F26*G26</f>
        <v>4</v>
      </c>
      <c r="H29" s="108"/>
      <c r="I29" s="88"/>
      <c r="J29" s="88"/>
      <c r="K29" s="88"/>
      <c r="L29" s="88"/>
      <c r="M29" s="131"/>
      <c r="N29" s="131">
        <v>5.3</v>
      </c>
      <c r="O29" s="88"/>
      <c r="P29" s="177"/>
      <c r="Q29" s="129"/>
      <c r="R29" s="129"/>
      <c r="S29" s="129">
        <v>1.6</v>
      </c>
      <c r="T29" s="88"/>
      <c r="U29" s="88"/>
      <c r="V29" s="131"/>
      <c r="W29" s="497"/>
      <c r="X29" s="129"/>
      <c r="Y29" s="129">
        <v>5</v>
      </c>
      <c r="Z29" s="88"/>
      <c r="AA29" s="88"/>
      <c r="AB29" s="396"/>
      <c r="AC29" s="288"/>
      <c r="AD29" s="123"/>
      <c r="AE29" s="7"/>
      <c r="AF29" s="224"/>
      <c r="AG29" s="7"/>
      <c r="AH29" s="7"/>
      <c r="AI29" s="7"/>
      <c r="AJ29" s="624"/>
    </row>
    <row r="30" spans="1:36" ht="16.5" customHeight="1" thickBot="1">
      <c r="A30" s="346" t="s">
        <v>79</v>
      </c>
      <c r="B30" s="347">
        <v>595</v>
      </c>
      <c r="C30" s="348" t="s">
        <v>73</v>
      </c>
      <c r="D30" s="452">
        <f>D29*F25/1000</f>
        <v>0.5</v>
      </c>
      <c r="E30" s="341">
        <f>D30</f>
        <v>0.5</v>
      </c>
      <c r="F30" s="363">
        <f>F29*F25/1000</f>
        <v>0.4</v>
      </c>
      <c r="G30" s="341">
        <f>ROUND(F30,2)</f>
        <v>0.4</v>
      </c>
      <c r="H30" s="349"/>
      <c r="I30" s="350"/>
      <c r="J30" s="350"/>
      <c r="K30" s="350"/>
      <c r="L30" s="350"/>
      <c r="M30" s="341"/>
      <c r="N30" s="341">
        <f>ROUND(N29*B25/1000,2)</f>
        <v>0.53</v>
      </c>
      <c r="O30" s="350"/>
      <c r="P30" s="349"/>
      <c r="Q30" s="350"/>
      <c r="R30" s="350"/>
      <c r="S30" s="341">
        <f>S29*B25/1000</f>
        <v>0.16</v>
      </c>
      <c r="T30" s="350"/>
      <c r="U30" s="350"/>
      <c r="V30" s="341"/>
      <c r="W30" s="363"/>
      <c r="X30" s="341"/>
      <c r="Y30" s="341">
        <f>Y29*B25/1000</f>
        <v>0.5</v>
      </c>
      <c r="Z30" s="350"/>
      <c r="AA30" s="350"/>
      <c r="AB30" s="397"/>
      <c r="AC30" s="399">
        <f>ROUND(E30+G30+I30+J30+K30+L30+M30+N30+O30+Q30+S30+T30+U30+V30+X30+Y30+Z30+AA30+AB30,2)</f>
        <v>2.09</v>
      </c>
      <c r="AD30" s="344">
        <f>AC30*B30</f>
        <v>1243.55</v>
      </c>
      <c r="AE30" s="7"/>
      <c r="AF30" s="223">
        <f>AC30+AC125</f>
        <v>4.0999999999999996</v>
      </c>
      <c r="AG30" s="7" t="str">
        <f>A30</f>
        <v>Масло слив.</v>
      </c>
      <c r="AH30" s="7"/>
      <c r="AI30" s="7"/>
      <c r="AJ30" s="7"/>
    </row>
    <row r="31" spans="1:36" ht="15" customHeight="1" thickTop="1">
      <c r="A31" s="133"/>
      <c r="B31" s="121"/>
      <c r="C31" s="77" t="s">
        <v>72</v>
      </c>
      <c r="D31" s="293"/>
      <c r="E31" s="88"/>
      <c r="F31" s="430"/>
      <c r="G31" s="88"/>
      <c r="H31" s="108"/>
      <c r="I31" s="88"/>
      <c r="J31" s="88"/>
      <c r="K31" s="88"/>
      <c r="L31" s="131"/>
      <c r="M31" s="131">
        <v>2.5</v>
      </c>
      <c r="N31" s="131"/>
      <c r="O31" s="88"/>
      <c r="P31" s="177">
        <f>2/70*P26</f>
        <v>2</v>
      </c>
      <c r="Q31" s="129">
        <f>P31/P26*Q26</f>
        <v>2</v>
      </c>
      <c r="R31" s="129"/>
      <c r="S31" s="129">
        <v>6.5</v>
      </c>
      <c r="T31" s="88"/>
      <c r="U31" s="88"/>
      <c r="V31" s="131"/>
      <c r="W31" s="497">
        <f>0.8/80*W26</f>
        <v>0.8</v>
      </c>
      <c r="X31" s="129">
        <f>W31/W26*X26</f>
        <v>0.8</v>
      </c>
      <c r="Y31" s="131"/>
      <c r="Z31" s="88"/>
      <c r="AA31" s="88"/>
      <c r="AB31" s="396"/>
      <c r="AC31" s="288"/>
      <c r="AD31" s="123"/>
      <c r="AE31" s="7"/>
      <c r="AF31" s="224"/>
      <c r="AG31" s="7"/>
      <c r="AH31" s="7"/>
      <c r="AI31" s="7"/>
      <c r="AJ31" s="7"/>
    </row>
    <row r="32" spans="1:36" ht="15.75" customHeight="1" thickBot="1">
      <c r="A32" s="346" t="s">
        <v>78</v>
      </c>
      <c r="B32" s="347">
        <v>104.42</v>
      </c>
      <c r="C32" s="348" t="s">
        <v>73</v>
      </c>
      <c r="D32" s="423"/>
      <c r="E32" s="350"/>
      <c r="F32" s="363"/>
      <c r="G32" s="350"/>
      <c r="H32" s="349"/>
      <c r="I32" s="350"/>
      <c r="J32" s="350"/>
      <c r="K32" s="350"/>
      <c r="L32" s="341"/>
      <c r="M32" s="341">
        <f>M31*B25/1000</f>
        <v>0.25</v>
      </c>
      <c r="N32" s="341"/>
      <c r="O32" s="350"/>
      <c r="P32" s="349">
        <f>P31*P25/1000</f>
        <v>0.2</v>
      </c>
      <c r="Q32" s="341">
        <f>P32</f>
        <v>0.2</v>
      </c>
      <c r="R32" s="341"/>
      <c r="S32" s="341">
        <f>S31*B25/1000</f>
        <v>0.65</v>
      </c>
      <c r="T32" s="350"/>
      <c r="U32" s="350"/>
      <c r="V32" s="350"/>
      <c r="W32" s="363">
        <f>W31*F25/1000</f>
        <v>0.08</v>
      </c>
      <c r="X32" s="341">
        <f>W32</f>
        <v>0.08</v>
      </c>
      <c r="Y32" s="341"/>
      <c r="Z32" s="350"/>
      <c r="AA32" s="350"/>
      <c r="AB32" s="397"/>
      <c r="AC32" s="399">
        <f>ROUND(E32+G32+I32+J32+K32+L32+M32+N32+O32+Q32+S32+T32+U32+V32+X32+Z32+AA32+AB32,2)</f>
        <v>1.18</v>
      </c>
      <c r="AD32" s="344">
        <f>AC32*B32</f>
        <v>123.21559999999999</v>
      </c>
      <c r="AE32" s="7"/>
      <c r="AF32" s="223">
        <f t="shared" ref="AF32" si="1">AC32+AC127</f>
        <v>2.11</v>
      </c>
      <c r="AG32" s="7" t="str">
        <f>A32</f>
        <v>Масло раст.</v>
      </c>
      <c r="AH32" s="7"/>
      <c r="AI32" s="7"/>
      <c r="AJ32" s="7"/>
    </row>
    <row r="33" spans="1:36" ht="14.25" customHeight="1" thickTop="1">
      <c r="A33" s="133"/>
      <c r="B33" s="121"/>
      <c r="C33" s="77" t="s">
        <v>72</v>
      </c>
      <c r="D33" s="293"/>
      <c r="E33" s="88"/>
      <c r="F33" s="539">
        <v>82</v>
      </c>
      <c r="G33" s="129">
        <f>F33/F26*G26</f>
        <v>82</v>
      </c>
      <c r="H33" s="108"/>
      <c r="I33" s="129"/>
      <c r="J33" s="88"/>
      <c r="K33" s="88"/>
      <c r="L33" s="88"/>
      <c r="M33" s="131"/>
      <c r="N33" s="88"/>
      <c r="O33" s="88"/>
      <c r="P33" s="177">
        <f>7/70*P26</f>
        <v>7</v>
      </c>
      <c r="Q33" s="129">
        <f>P33/P26*Q26</f>
        <v>7</v>
      </c>
      <c r="R33" s="129"/>
      <c r="S33" s="129"/>
      <c r="T33" s="88"/>
      <c r="U33" s="88"/>
      <c r="V33" s="88"/>
      <c r="W33" s="264"/>
      <c r="X33" s="131"/>
      <c r="Y33" s="131"/>
      <c r="Z33" s="131">
        <f>Z34/B25*1000</f>
        <v>188.99999999999997</v>
      </c>
      <c r="AA33" s="88"/>
      <c r="AB33" s="396"/>
      <c r="AC33" s="288"/>
      <c r="AD33" s="123"/>
      <c r="AE33" s="7"/>
      <c r="AF33" s="224"/>
      <c r="AG33" s="7"/>
      <c r="AH33" s="7"/>
      <c r="AI33" s="7"/>
      <c r="AJ33" s="7"/>
    </row>
    <row r="34" spans="1:36" ht="15.95" customHeight="1" thickBot="1">
      <c r="A34" s="346" t="s">
        <v>81</v>
      </c>
      <c r="B34" s="347">
        <v>67.8</v>
      </c>
      <c r="C34" s="348" t="s">
        <v>73</v>
      </c>
      <c r="D34" s="423"/>
      <c r="E34" s="350"/>
      <c r="F34" s="363">
        <f>F33*F25/1000</f>
        <v>8.1999999999999993</v>
      </c>
      <c r="G34" s="365">
        <f>F34</f>
        <v>8.1999999999999993</v>
      </c>
      <c r="H34" s="468"/>
      <c r="I34" s="341"/>
      <c r="J34" s="350"/>
      <c r="K34" s="350"/>
      <c r="L34" s="350"/>
      <c r="M34" s="350"/>
      <c r="N34" s="350"/>
      <c r="O34" s="350"/>
      <c r="P34" s="349">
        <f>P33*P25/1000</f>
        <v>0.7</v>
      </c>
      <c r="Q34" s="365">
        <f>P34</f>
        <v>0.7</v>
      </c>
      <c r="R34" s="366"/>
      <c r="S34" s="350"/>
      <c r="T34" s="350"/>
      <c r="U34" s="350"/>
      <c r="V34" s="350"/>
      <c r="W34" s="360"/>
      <c r="X34" s="367"/>
      <c r="Y34" s="341"/>
      <c r="Z34" s="365">
        <v>18.899999999999999</v>
      </c>
      <c r="AA34" s="350"/>
      <c r="AB34" s="397"/>
      <c r="AC34" s="400">
        <f>ROUND(E34+G34+I34+J34+K34+L34+M34+N34+O34+Q34+S34+T34+U34+V34+X34+Y34+Z34+AA34+AB34,3)</f>
        <v>27.8</v>
      </c>
      <c r="AD34" s="344">
        <f>AC34*B34</f>
        <v>1884.84</v>
      </c>
      <c r="AE34" s="7"/>
      <c r="AF34" s="225">
        <f>AC34+AC129</f>
        <v>52.400000000000006</v>
      </c>
      <c r="AG34" s="7" t="str">
        <f>A34</f>
        <v>Молоко св.</v>
      </c>
      <c r="AH34" s="7"/>
      <c r="AI34" s="7"/>
      <c r="AJ34" s="7"/>
    </row>
    <row r="35" spans="1:36" ht="15" customHeight="1" thickTop="1">
      <c r="A35" s="133"/>
      <c r="B35" s="121"/>
      <c r="C35" s="77" t="s">
        <v>72</v>
      </c>
      <c r="D35" s="293"/>
      <c r="E35" s="88"/>
      <c r="F35" s="539"/>
      <c r="G35" s="129"/>
      <c r="H35" s="108"/>
      <c r="I35" s="88"/>
      <c r="J35" s="88"/>
      <c r="K35" s="88"/>
      <c r="L35" s="88"/>
      <c r="M35" s="88"/>
      <c r="N35" s="88"/>
      <c r="O35" s="129"/>
      <c r="P35" s="177"/>
      <c r="Q35" s="88"/>
      <c r="R35" s="88"/>
      <c r="S35" s="88"/>
      <c r="T35" s="88"/>
      <c r="U35" s="88"/>
      <c r="V35" s="88"/>
      <c r="W35" s="497">
        <f>75/80*W26</f>
        <v>75</v>
      </c>
      <c r="X35" s="178">
        <f>W35/W26*X26</f>
        <v>75</v>
      </c>
      <c r="Y35" s="129"/>
      <c r="Z35" s="88"/>
      <c r="AA35" s="88"/>
      <c r="AB35" s="396"/>
      <c r="AC35" s="288"/>
      <c r="AD35" s="123"/>
      <c r="AE35" s="7"/>
      <c r="AF35" s="224"/>
      <c r="AG35" s="7"/>
      <c r="AH35" s="7"/>
      <c r="AI35" s="7"/>
      <c r="AJ35" s="7"/>
    </row>
    <row r="36" spans="1:36" ht="15.95" customHeight="1" thickBot="1">
      <c r="A36" s="346" t="s">
        <v>21</v>
      </c>
      <c r="B36" s="347">
        <v>319.5</v>
      </c>
      <c r="C36" s="348" t="s">
        <v>73</v>
      </c>
      <c r="D36" s="423"/>
      <c r="E36" s="350"/>
      <c r="F36" s="363"/>
      <c r="G36" s="404"/>
      <c r="H36" s="349"/>
      <c r="I36" s="350"/>
      <c r="J36" s="350"/>
      <c r="K36" s="350"/>
      <c r="L36" s="350"/>
      <c r="M36" s="350"/>
      <c r="N36" s="350"/>
      <c r="O36" s="341"/>
      <c r="P36" s="349"/>
      <c r="Q36" s="350"/>
      <c r="R36" s="350"/>
      <c r="S36" s="350"/>
      <c r="T36" s="350"/>
      <c r="U36" s="350"/>
      <c r="V36" s="350"/>
      <c r="W36" s="363">
        <f>W35*F25/1000</f>
        <v>7.5</v>
      </c>
      <c r="X36" s="341">
        <f>ROUND(W36,2)</f>
        <v>7.5</v>
      </c>
      <c r="Y36" s="341"/>
      <c r="Z36" s="350"/>
      <c r="AA36" s="350"/>
      <c r="AB36" s="397"/>
      <c r="AC36" s="399">
        <f>ROUND(E36+G36+I36+J36+K36+L36+M36+N36+O36+Q36+S36+T36+U36+V36+X36+Z36+AA36+AB36,2)</f>
        <v>7.5</v>
      </c>
      <c r="AD36" s="344">
        <f>AC36*B36</f>
        <v>2396.25</v>
      </c>
      <c r="AE36" s="7"/>
      <c r="AF36" s="223">
        <f t="shared" ref="AF36" si="2">AC36+AC131</f>
        <v>15</v>
      </c>
      <c r="AG36" s="7" t="str">
        <f>A36</f>
        <v>Творог</v>
      </c>
      <c r="AH36" s="7"/>
      <c r="AI36" s="7"/>
      <c r="AJ36" s="7"/>
    </row>
    <row r="37" spans="1:36" ht="15" customHeight="1" thickTop="1">
      <c r="A37" s="133"/>
      <c r="B37" s="121"/>
      <c r="C37" s="77" t="s">
        <v>72</v>
      </c>
      <c r="D37" s="293"/>
      <c r="E37" s="88"/>
      <c r="F37" s="430"/>
      <c r="G37" s="129"/>
      <c r="H37" s="108"/>
      <c r="I37" s="88"/>
      <c r="J37" s="88"/>
      <c r="K37" s="88"/>
      <c r="L37" s="568"/>
      <c r="M37" s="88"/>
      <c r="N37" s="88"/>
      <c r="O37" s="88"/>
      <c r="P37" s="497">
        <f>4.4/70*P26</f>
        <v>4.4000000000000004</v>
      </c>
      <c r="Q37" s="129">
        <f>P37/P26*Q26</f>
        <v>4.4000000000000004</v>
      </c>
      <c r="R37" s="129"/>
      <c r="S37" s="129"/>
      <c r="T37" s="88"/>
      <c r="U37" s="88"/>
      <c r="V37" s="88"/>
      <c r="W37" s="497">
        <f>3.2/80*W26</f>
        <v>3.2</v>
      </c>
      <c r="X37" s="129">
        <f>W37/W26*X26</f>
        <v>3.2</v>
      </c>
      <c r="Y37" s="129"/>
      <c r="Z37" s="88"/>
      <c r="AA37" s="88"/>
      <c r="AB37" s="396"/>
      <c r="AC37" s="288"/>
      <c r="AD37" s="123"/>
      <c r="AE37" s="7"/>
      <c r="AF37" s="224"/>
      <c r="AG37" s="7"/>
      <c r="AH37" s="7"/>
      <c r="AI37" s="7"/>
      <c r="AJ37" s="7"/>
    </row>
    <row r="38" spans="1:36" ht="16.5" customHeight="1" thickBot="1">
      <c r="A38" s="346" t="s">
        <v>22</v>
      </c>
      <c r="B38" s="347">
        <v>10</v>
      </c>
      <c r="C38" s="348" t="s">
        <v>74</v>
      </c>
      <c r="D38" s="423"/>
      <c r="E38" s="350"/>
      <c r="F38" s="530"/>
      <c r="G38" s="386"/>
      <c r="H38" s="531"/>
      <c r="I38" s="386"/>
      <c r="J38" s="386"/>
      <c r="K38" s="386"/>
      <c r="L38" s="533"/>
      <c r="M38" s="386"/>
      <c r="N38" s="386"/>
      <c r="O38" s="386"/>
      <c r="P38" s="530">
        <f>ROUND(P37*F25/48,0)</f>
        <v>9</v>
      </c>
      <c r="Q38" s="470">
        <f>P38</f>
        <v>9</v>
      </c>
      <c r="R38" s="470"/>
      <c r="S38" s="470"/>
      <c r="T38" s="386"/>
      <c r="U38" s="386"/>
      <c r="V38" s="386"/>
      <c r="W38" s="530">
        <f>ROUND(W37*F25/48,0)</f>
        <v>7</v>
      </c>
      <c r="X38" s="470">
        <f>W38</f>
        <v>7</v>
      </c>
      <c r="Y38" s="341"/>
      <c r="Z38" s="350"/>
      <c r="AA38" s="350"/>
      <c r="AB38" s="398"/>
      <c r="AC38" s="473">
        <f>ROUND(E38+G38+I38+J38+K38+L38+M38+N38+O38+Q38+S38+T38+U38+V38+X38+Z38+AA38+AB38,0)</f>
        <v>16</v>
      </c>
      <c r="AD38" s="344">
        <f>AC38*B38</f>
        <v>160</v>
      </c>
      <c r="AE38" s="7"/>
      <c r="AF38" s="475">
        <f>AC38+AC133</f>
        <v>30</v>
      </c>
      <c r="AG38" s="7" t="str">
        <f>A38</f>
        <v>Яйцо</v>
      </c>
      <c r="AH38" s="7"/>
      <c r="AI38" s="7"/>
      <c r="AJ38" s="7"/>
    </row>
    <row r="39" spans="1:36" ht="15" customHeight="1" thickTop="1">
      <c r="A39" s="133"/>
      <c r="B39" s="121"/>
      <c r="C39" s="77" t="s">
        <v>72</v>
      </c>
      <c r="D39" s="293"/>
      <c r="E39" s="88"/>
      <c r="F39" s="430"/>
      <c r="G39" s="129"/>
      <c r="H39" s="108"/>
      <c r="I39" s="88"/>
      <c r="J39" s="88"/>
      <c r="K39" s="88"/>
      <c r="L39" s="88"/>
      <c r="M39" s="131"/>
      <c r="N39" s="131"/>
      <c r="O39" s="88"/>
      <c r="P39" s="177"/>
      <c r="Q39" s="129"/>
      <c r="R39" s="177"/>
      <c r="S39" s="129">
        <v>1.2</v>
      </c>
      <c r="T39" s="88"/>
      <c r="U39" s="88"/>
      <c r="V39" s="131"/>
      <c r="W39" s="497">
        <f>5/80*W26</f>
        <v>5</v>
      </c>
      <c r="X39" s="129">
        <f>W39/W26*X26</f>
        <v>5</v>
      </c>
      <c r="Y39" s="129"/>
      <c r="Z39" s="88"/>
      <c r="AA39" s="88"/>
      <c r="AB39" s="396"/>
      <c r="AC39" s="288"/>
      <c r="AD39" s="123"/>
      <c r="AE39" s="7"/>
      <c r="AF39" s="224"/>
      <c r="AG39" s="7"/>
      <c r="AH39" s="7"/>
      <c r="AI39" s="7"/>
      <c r="AJ39" s="7"/>
    </row>
    <row r="40" spans="1:36" ht="18.2" customHeight="1" thickBot="1">
      <c r="A40" s="346" t="s">
        <v>76</v>
      </c>
      <c r="B40" s="347">
        <v>29.08</v>
      </c>
      <c r="C40" s="348" t="s">
        <v>73</v>
      </c>
      <c r="D40" s="423"/>
      <c r="E40" s="350"/>
      <c r="F40" s="363"/>
      <c r="G40" s="350"/>
      <c r="H40" s="349"/>
      <c r="I40" s="350"/>
      <c r="J40" s="350"/>
      <c r="K40" s="350"/>
      <c r="L40" s="350"/>
      <c r="M40" s="341"/>
      <c r="N40" s="350"/>
      <c r="O40" s="350"/>
      <c r="P40" s="349"/>
      <c r="Q40" s="341"/>
      <c r="R40" s="349"/>
      <c r="S40" s="341">
        <f>S39*B25/1000</f>
        <v>0.12</v>
      </c>
      <c r="T40" s="350"/>
      <c r="U40" s="350"/>
      <c r="V40" s="350"/>
      <c r="W40" s="363">
        <f>W39*F25/1000</f>
        <v>0.5</v>
      </c>
      <c r="X40" s="341">
        <f>W40</f>
        <v>0.5</v>
      </c>
      <c r="Y40" s="341"/>
      <c r="Z40" s="350"/>
      <c r="AA40" s="350"/>
      <c r="AB40" s="397"/>
      <c r="AC40" s="399">
        <f>ROUND(E40+G40+I40+J40+K40+L40+M40+N40+O40+Q40+S40+T40+U40+V40+X40+Y40+Z40+AA40+AB40,2)</f>
        <v>0.62</v>
      </c>
      <c r="AD40" s="344">
        <f>AC40*B40</f>
        <v>18.029599999999999</v>
      </c>
      <c r="AE40" s="7"/>
      <c r="AF40" s="223">
        <f t="shared" ref="AF40:AF50" si="3">AC40+AC135</f>
        <v>1.22</v>
      </c>
      <c r="AG40" s="7" t="str">
        <f>A40</f>
        <v>Мука пшен.</v>
      </c>
      <c r="AH40" s="7"/>
      <c r="AI40" s="7"/>
      <c r="AJ40" s="7"/>
    </row>
    <row r="41" spans="1:36" ht="15" customHeight="1" thickTop="1">
      <c r="A41" s="133"/>
      <c r="B41" s="121"/>
      <c r="C41" s="77" t="s">
        <v>72</v>
      </c>
      <c r="D41" s="453"/>
      <c r="E41" s="131"/>
      <c r="F41" s="430">
        <v>4</v>
      </c>
      <c r="G41" s="129">
        <f>F41/F26*G26</f>
        <v>4</v>
      </c>
      <c r="H41" s="108"/>
      <c r="I41" s="88"/>
      <c r="J41" s="88"/>
      <c r="K41" s="88"/>
      <c r="L41" s="88"/>
      <c r="M41" s="131"/>
      <c r="N41" s="131"/>
      <c r="O41" s="131">
        <f>O42/B25*1000</f>
        <v>5</v>
      </c>
      <c r="P41" s="108"/>
      <c r="Q41" s="129"/>
      <c r="R41" s="129"/>
      <c r="S41" s="129"/>
      <c r="T41" s="88"/>
      <c r="U41" s="88"/>
      <c r="V41" s="88"/>
      <c r="W41" s="497">
        <f>2.6/80*W26</f>
        <v>2.6</v>
      </c>
      <c r="X41" s="129">
        <f>W41/W26*X26</f>
        <v>2.6</v>
      </c>
      <c r="Y41" s="88"/>
      <c r="Z41" s="88"/>
      <c r="AA41" s="88"/>
      <c r="AB41" s="396"/>
      <c r="AC41" s="288"/>
      <c r="AD41" s="123"/>
      <c r="AE41" s="7"/>
      <c r="AF41" s="224"/>
      <c r="AG41" s="7"/>
      <c r="AH41" s="7"/>
      <c r="AI41" s="7"/>
      <c r="AJ41" s="7"/>
    </row>
    <row r="42" spans="1:36" ht="15.75" customHeight="1" thickBot="1">
      <c r="A42" s="346" t="s">
        <v>20</v>
      </c>
      <c r="B42" s="347">
        <v>227</v>
      </c>
      <c r="C42" s="348" t="s">
        <v>73</v>
      </c>
      <c r="D42" s="452"/>
      <c r="E42" s="350"/>
      <c r="F42" s="363">
        <f>F41*F25/1000</f>
        <v>0.4</v>
      </c>
      <c r="G42" s="341">
        <f>ROUND(F42,2)</f>
        <v>0.4</v>
      </c>
      <c r="H42" s="349"/>
      <c r="I42" s="350"/>
      <c r="J42" s="350"/>
      <c r="K42" s="350"/>
      <c r="L42" s="350"/>
      <c r="M42" s="350"/>
      <c r="N42" s="350"/>
      <c r="O42" s="341">
        <v>0.5</v>
      </c>
      <c r="P42" s="349"/>
      <c r="Q42" s="341"/>
      <c r="R42" s="341"/>
      <c r="S42" s="341"/>
      <c r="T42" s="350"/>
      <c r="U42" s="350"/>
      <c r="V42" s="350"/>
      <c r="W42" s="363">
        <f>W41*F25/1000</f>
        <v>0.26</v>
      </c>
      <c r="X42" s="341">
        <f>W42</f>
        <v>0.26</v>
      </c>
      <c r="Y42" s="350"/>
      <c r="Z42" s="350"/>
      <c r="AA42" s="350"/>
      <c r="AB42" s="397"/>
      <c r="AC42" s="399">
        <f>ROUND(E42+G42+I42+J42+K42+L42+M42+N42+O42+Q42+S42+T42+U42+V42+X42+Z42+AA42+AB42,2)</f>
        <v>1.1599999999999999</v>
      </c>
      <c r="AD42" s="344">
        <f>AC42*B42</f>
        <v>263.32</v>
      </c>
      <c r="AE42" s="7"/>
      <c r="AF42" s="223">
        <f t="shared" si="3"/>
        <v>2.3199999999999998</v>
      </c>
      <c r="AG42" s="7" t="str">
        <f>A42</f>
        <v>Сметана</v>
      </c>
      <c r="AH42" s="7"/>
      <c r="AI42" s="7"/>
      <c r="AJ42" s="7"/>
    </row>
    <row r="43" spans="1:36" ht="15" customHeight="1" thickTop="1">
      <c r="A43" s="133"/>
      <c r="B43" s="121"/>
      <c r="C43" s="77" t="s">
        <v>72</v>
      </c>
      <c r="D43" s="293"/>
      <c r="E43" s="88"/>
      <c r="F43" s="430">
        <v>32</v>
      </c>
      <c r="G43" s="129">
        <f>F43/F26*G26</f>
        <v>32</v>
      </c>
      <c r="H43" s="108"/>
      <c r="I43" s="88"/>
      <c r="J43" s="88"/>
      <c r="K43" s="88"/>
      <c r="L43" s="88"/>
      <c r="M43" s="88"/>
      <c r="N43" s="88"/>
      <c r="O43" s="88"/>
      <c r="P43" s="177"/>
      <c r="Q43" s="129"/>
      <c r="R43" s="88"/>
      <c r="S43" s="88"/>
      <c r="T43" s="88"/>
      <c r="U43" s="88"/>
      <c r="V43" s="88"/>
      <c r="W43" s="263"/>
      <c r="X43" s="88"/>
      <c r="Y43" s="88"/>
      <c r="Z43" s="88"/>
      <c r="AA43" s="88"/>
      <c r="AB43" s="396"/>
      <c r="AC43" s="288"/>
      <c r="AD43" s="123"/>
      <c r="AE43" s="7"/>
      <c r="AF43" s="224"/>
      <c r="AG43" s="7"/>
      <c r="AH43" s="7"/>
      <c r="AI43" s="7"/>
      <c r="AJ43" s="7"/>
    </row>
    <row r="44" spans="1:36" ht="15.75" customHeight="1" thickBot="1">
      <c r="A44" s="346" t="s">
        <v>25</v>
      </c>
      <c r="B44" s="347">
        <v>40.08</v>
      </c>
      <c r="C44" s="348" t="s">
        <v>73</v>
      </c>
      <c r="D44" s="423"/>
      <c r="E44" s="350"/>
      <c r="F44" s="363">
        <f>F43*F25/1000</f>
        <v>3.2</v>
      </c>
      <c r="G44" s="341">
        <f>F44</f>
        <v>3.2</v>
      </c>
      <c r="H44" s="349"/>
      <c r="I44" s="350"/>
      <c r="J44" s="350"/>
      <c r="K44" s="350"/>
      <c r="L44" s="350"/>
      <c r="M44" s="350"/>
      <c r="N44" s="350"/>
      <c r="O44" s="350"/>
      <c r="P44" s="349"/>
      <c r="Q44" s="350"/>
      <c r="R44" s="350"/>
      <c r="S44" s="350"/>
      <c r="T44" s="350"/>
      <c r="U44" s="350"/>
      <c r="V44" s="350"/>
      <c r="W44" s="360"/>
      <c r="X44" s="350"/>
      <c r="Y44" s="350"/>
      <c r="Z44" s="350"/>
      <c r="AA44" s="350"/>
      <c r="AB44" s="397"/>
      <c r="AC44" s="399">
        <f>ROUND(E44+G44+I44+J44+K44+L44+M44+N44+O44+Q44+S44+T44+U44+V44+X44+Z44+AA44+AB44,2)</f>
        <v>3.2</v>
      </c>
      <c r="AD44" s="344">
        <f>AC44*B44</f>
        <v>128.256</v>
      </c>
      <c r="AE44" s="7"/>
      <c r="AF44" s="223">
        <f t="shared" si="3"/>
        <v>6.4</v>
      </c>
      <c r="AG44" s="7" t="str">
        <f>A44</f>
        <v>Пшено</v>
      </c>
      <c r="AH44" s="7"/>
      <c r="AI44" s="7"/>
      <c r="AJ44" s="7"/>
    </row>
    <row r="45" spans="1:36" ht="15" customHeight="1" thickTop="1">
      <c r="A45" s="133"/>
      <c r="B45" s="121"/>
      <c r="C45" s="77" t="s">
        <v>72</v>
      </c>
      <c r="D45" s="293"/>
      <c r="E45" s="88"/>
      <c r="F45" s="430">
        <v>3</v>
      </c>
      <c r="G45" s="129">
        <f>F45/F26*G26</f>
        <v>3</v>
      </c>
      <c r="H45" s="108">
        <v>7</v>
      </c>
      <c r="I45" s="129">
        <f>H45/H26*I26</f>
        <v>6.9999999999999991</v>
      </c>
      <c r="J45" s="88"/>
      <c r="K45" s="88"/>
      <c r="L45" s="131"/>
      <c r="M45" s="131">
        <v>2.5</v>
      </c>
      <c r="N45" s="131">
        <v>1.2</v>
      </c>
      <c r="O45" s="88"/>
      <c r="P45" s="108"/>
      <c r="Q45" s="88"/>
      <c r="R45" s="88"/>
      <c r="S45" s="131">
        <v>0.3</v>
      </c>
      <c r="T45" s="131">
        <v>10</v>
      </c>
      <c r="U45" s="88"/>
      <c r="V45" s="131"/>
      <c r="W45" s="497">
        <f>6/80*W26</f>
        <v>6</v>
      </c>
      <c r="X45" s="129">
        <f>W45/W26*X26</f>
        <v>6</v>
      </c>
      <c r="Y45" s="129"/>
      <c r="Z45" s="131"/>
      <c r="AA45" s="88"/>
      <c r="AB45" s="396"/>
      <c r="AC45" s="288"/>
      <c r="AD45" s="123"/>
      <c r="AE45" s="7"/>
      <c r="AF45" s="224"/>
      <c r="AG45" s="7"/>
      <c r="AH45" s="7"/>
      <c r="AI45" s="7"/>
      <c r="AJ45" s="7"/>
    </row>
    <row r="46" spans="1:36" ht="16.5" customHeight="1" thickBot="1">
      <c r="A46" s="346" t="s">
        <v>77</v>
      </c>
      <c r="B46" s="347">
        <v>62.77</v>
      </c>
      <c r="C46" s="348" t="s">
        <v>73</v>
      </c>
      <c r="D46" s="423"/>
      <c r="E46" s="350"/>
      <c r="F46" s="363">
        <f>F45*F25/1000</f>
        <v>0.3</v>
      </c>
      <c r="G46" s="341">
        <f>F46</f>
        <v>0.3</v>
      </c>
      <c r="H46" s="349">
        <f>H45*H25/1000</f>
        <v>0.7</v>
      </c>
      <c r="I46" s="341">
        <f>H46</f>
        <v>0.7</v>
      </c>
      <c r="J46" s="350"/>
      <c r="K46" s="350"/>
      <c r="L46" s="350"/>
      <c r="M46" s="341">
        <f>M45*B25/1000</f>
        <v>0.25</v>
      </c>
      <c r="N46" s="341">
        <f>ROUND(N45*B25/1000,2)</f>
        <v>0.12</v>
      </c>
      <c r="O46" s="350"/>
      <c r="P46" s="349"/>
      <c r="Q46" s="350"/>
      <c r="R46" s="350"/>
      <c r="S46" s="341">
        <f>S45*B25/1000</f>
        <v>0.03</v>
      </c>
      <c r="T46" s="341">
        <f>ROUND(T45*B25/1000,2)</f>
        <v>1</v>
      </c>
      <c r="U46" s="350"/>
      <c r="V46" s="350"/>
      <c r="W46" s="363">
        <f>W45*F25/1000</f>
        <v>0.6</v>
      </c>
      <c r="X46" s="341">
        <f>W46</f>
        <v>0.6</v>
      </c>
      <c r="Y46" s="341"/>
      <c r="Z46" s="350"/>
      <c r="AA46" s="350"/>
      <c r="AB46" s="397"/>
      <c r="AC46" s="399">
        <f>ROUND(E46+G46+I46+J46+K46+L46+M46+N46+O46+Q46+S46+T46+U46+V46+X46+Y46+Z46+AA46,2)</f>
        <v>3</v>
      </c>
      <c r="AD46" s="344">
        <f>AC46*B46</f>
        <v>188.31</v>
      </c>
      <c r="AE46" s="7"/>
      <c r="AF46" s="223">
        <f t="shared" si="3"/>
        <v>5.43</v>
      </c>
      <c r="AG46" s="7" t="str">
        <f>A46</f>
        <v>Сахар</v>
      </c>
      <c r="AH46" s="7"/>
      <c r="AI46" s="7"/>
      <c r="AJ46" s="7"/>
    </row>
    <row r="47" spans="1:36" ht="15" customHeight="1" thickTop="1">
      <c r="A47" s="133"/>
      <c r="B47" s="121"/>
      <c r="C47" s="77" t="s">
        <v>72</v>
      </c>
      <c r="D47" s="293"/>
      <c r="E47" s="88"/>
      <c r="F47" s="90"/>
      <c r="G47" s="88"/>
      <c r="H47" s="108"/>
      <c r="I47" s="88"/>
      <c r="J47" s="88"/>
      <c r="K47" s="88"/>
      <c r="L47" s="88"/>
      <c r="M47" s="88"/>
      <c r="N47" s="88"/>
      <c r="O47" s="88"/>
      <c r="P47" s="108"/>
      <c r="Q47" s="88"/>
      <c r="R47" s="88"/>
      <c r="S47" s="88"/>
      <c r="T47" s="131">
        <v>12</v>
      </c>
      <c r="U47" s="88"/>
      <c r="V47" s="88"/>
      <c r="W47" s="263"/>
      <c r="X47" s="88"/>
      <c r="Y47" s="88"/>
      <c r="Z47" s="88"/>
      <c r="AA47" s="88"/>
      <c r="AB47" s="396"/>
      <c r="AC47" s="288"/>
      <c r="AD47" s="123"/>
      <c r="AE47" s="7"/>
      <c r="AF47" s="224"/>
      <c r="AG47" s="7"/>
      <c r="AH47" s="7"/>
      <c r="AI47" s="7"/>
      <c r="AJ47" s="7"/>
    </row>
    <row r="48" spans="1:36" ht="15.75" customHeight="1" thickBot="1">
      <c r="A48" s="346" t="s">
        <v>67</v>
      </c>
      <c r="B48" s="347">
        <v>170</v>
      </c>
      <c r="C48" s="348" t="s">
        <v>73</v>
      </c>
      <c r="D48" s="423"/>
      <c r="E48" s="350"/>
      <c r="F48" s="363"/>
      <c r="G48" s="350"/>
      <c r="H48" s="349"/>
      <c r="I48" s="350"/>
      <c r="J48" s="350"/>
      <c r="K48" s="350"/>
      <c r="L48" s="350"/>
      <c r="M48" s="350"/>
      <c r="N48" s="350"/>
      <c r="O48" s="350"/>
      <c r="P48" s="349"/>
      <c r="Q48" s="350"/>
      <c r="R48" s="350"/>
      <c r="S48" s="350"/>
      <c r="T48" s="341">
        <f>T47*B25/1000</f>
        <v>1.2</v>
      </c>
      <c r="U48" s="350"/>
      <c r="V48" s="350"/>
      <c r="W48" s="360"/>
      <c r="X48" s="350"/>
      <c r="Y48" s="350"/>
      <c r="Z48" s="350"/>
      <c r="AA48" s="350"/>
      <c r="AB48" s="397"/>
      <c r="AC48" s="399">
        <f>ROUND(E48+G48+I48+J48+K48+L48+M48+N48+O48+Q48+S48+T48+U48+V48+X48+Z48+AA48+AB48,2)</f>
        <v>1.2</v>
      </c>
      <c r="AD48" s="344">
        <f>AC48*B48</f>
        <v>204</v>
      </c>
      <c r="AE48" s="7"/>
      <c r="AF48" s="223">
        <f t="shared" si="3"/>
        <v>2.2000000000000002</v>
      </c>
      <c r="AG48" s="7" t="str">
        <f>A48</f>
        <v>Сухофрукты</v>
      </c>
      <c r="AH48" s="7"/>
      <c r="AI48" s="7"/>
      <c r="AJ48" s="7"/>
    </row>
    <row r="49" spans="1:36" ht="12.75" customHeight="1" thickTop="1">
      <c r="A49" s="133"/>
      <c r="B49" s="102"/>
      <c r="C49" s="77" t="s">
        <v>72</v>
      </c>
      <c r="D49" s="293"/>
      <c r="E49" s="104"/>
      <c r="F49" s="108">
        <v>20</v>
      </c>
      <c r="G49" s="129">
        <f>F49/F26*G26</f>
        <v>20</v>
      </c>
      <c r="H49" s="108"/>
      <c r="I49" s="129"/>
      <c r="J49" s="104"/>
      <c r="K49" s="184"/>
      <c r="L49" s="184"/>
      <c r="M49" s="104"/>
      <c r="N49" s="104"/>
      <c r="O49" s="104"/>
      <c r="P49" s="108"/>
      <c r="Q49" s="104"/>
      <c r="R49" s="104"/>
      <c r="S49" s="104"/>
      <c r="T49" s="104"/>
      <c r="U49" s="104"/>
      <c r="V49" s="104"/>
      <c r="W49" s="265"/>
      <c r="X49" s="104"/>
      <c r="Y49" s="104"/>
      <c r="Z49" s="137"/>
      <c r="AA49" s="104"/>
      <c r="AB49" s="396"/>
      <c r="AC49" s="288"/>
      <c r="AD49" s="123"/>
      <c r="AE49" s="7"/>
      <c r="AF49" s="224"/>
      <c r="AG49" s="7"/>
      <c r="AH49" s="7"/>
      <c r="AI49" s="7"/>
      <c r="AJ49" s="7"/>
    </row>
    <row r="50" spans="1:36" ht="15" customHeight="1" thickBot="1">
      <c r="A50" s="346" t="s">
        <v>151</v>
      </c>
      <c r="B50" s="347">
        <v>100</v>
      </c>
      <c r="C50" s="348" t="s">
        <v>73</v>
      </c>
      <c r="D50" s="423"/>
      <c r="E50" s="350"/>
      <c r="F50" s="349">
        <f>F49*F25/1000</f>
        <v>2</v>
      </c>
      <c r="G50" s="341">
        <f>F50</f>
        <v>2</v>
      </c>
      <c r="H50" s="349"/>
      <c r="I50" s="341"/>
      <c r="J50" s="350"/>
      <c r="K50" s="341"/>
      <c r="L50" s="341"/>
      <c r="M50" s="350"/>
      <c r="N50" s="350"/>
      <c r="O50" s="350"/>
      <c r="P50" s="349"/>
      <c r="Q50" s="350"/>
      <c r="R50" s="350"/>
      <c r="S50" s="350"/>
      <c r="T50" s="350"/>
      <c r="U50" s="350"/>
      <c r="V50" s="350"/>
      <c r="W50" s="360"/>
      <c r="X50" s="350"/>
      <c r="Y50" s="350"/>
      <c r="Z50" s="341"/>
      <c r="AA50" s="350"/>
      <c r="AB50" s="397"/>
      <c r="AC50" s="399">
        <f>ROUND(E50+G50+I50+J50+K50+L50+M50+N50+O50+Q50+S50+T50+U50+V50+X50+Z50+AA50+AB50,2)</f>
        <v>2</v>
      </c>
      <c r="AD50" s="344">
        <f>AC50*B50</f>
        <v>200</v>
      </c>
      <c r="AE50" s="7"/>
      <c r="AF50" s="226">
        <f t="shared" si="3"/>
        <v>4</v>
      </c>
      <c r="AG50" s="7" t="str">
        <f>A50</f>
        <v>Яблоки св.</v>
      </c>
      <c r="AH50" s="7"/>
      <c r="AI50" s="7"/>
      <c r="AJ50" s="7"/>
    </row>
    <row r="51" spans="1:36" ht="1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8" t="s">
        <v>71</v>
      </c>
      <c r="AF51" s="227"/>
    </row>
    <row r="52" spans="1:36" ht="12" customHeight="1">
      <c r="A52" s="26" t="s">
        <v>53</v>
      </c>
      <c r="B52" s="20"/>
      <c r="C52" s="65"/>
      <c r="D52" s="65"/>
      <c r="E52" s="14"/>
      <c r="F52" s="14"/>
      <c r="G52" s="14"/>
      <c r="H52" s="14"/>
      <c r="I52" s="14"/>
      <c r="J52" s="14"/>
      <c r="K52" s="14"/>
      <c r="L52" s="14"/>
      <c r="M52" s="14"/>
      <c r="N52" s="28" t="s">
        <v>41</v>
      </c>
      <c r="O52" s="14"/>
      <c r="P52" s="14"/>
      <c r="Q52" s="14"/>
      <c r="R52" s="14"/>
      <c r="S52" s="14"/>
      <c r="T52" s="28" t="s">
        <v>11</v>
      </c>
      <c r="U52" s="28"/>
      <c r="V52" s="14"/>
      <c r="W52" s="14"/>
      <c r="X52" s="14"/>
      <c r="Y52" s="14"/>
      <c r="Z52" s="14"/>
      <c r="AA52" s="22"/>
      <c r="AB52" s="14"/>
      <c r="AC52" s="1047" t="s">
        <v>8</v>
      </c>
      <c r="AD52" s="1048"/>
      <c r="AE52" s="7"/>
      <c r="AF52" s="228"/>
      <c r="AG52" s="7"/>
      <c r="AH52" s="7"/>
      <c r="AI52" s="7"/>
      <c r="AJ52" s="7"/>
    </row>
    <row r="53" spans="1:36" ht="12" customHeight="1">
      <c r="A53" s="168"/>
      <c r="B53" s="19"/>
      <c r="C53" s="5" t="s">
        <v>52</v>
      </c>
      <c r="D53" s="449"/>
      <c r="E53" s="1052" t="str">
        <f>E19</f>
        <v>З А В Т Р А К</v>
      </c>
      <c r="F53" s="1052"/>
      <c r="G53" s="1052"/>
      <c r="H53" s="1052"/>
      <c r="I53" s="1052"/>
      <c r="J53" s="1053"/>
      <c r="K53" s="161" t="s">
        <v>69</v>
      </c>
      <c r="L53" s="615"/>
      <c r="M53" s="1056" t="s">
        <v>16</v>
      </c>
      <c r="N53" s="1052"/>
      <c r="O53" s="1052"/>
      <c r="P53" s="1052"/>
      <c r="Q53" s="1052"/>
      <c r="R53" s="1052"/>
      <c r="S53" s="1052"/>
      <c r="T53" s="1052"/>
      <c r="U53" s="1053"/>
      <c r="V53" s="1056" t="s">
        <v>17</v>
      </c>
      <c r="W53" s="1052"/>
      <c r="X53" s="1052"/>
      <c r="Y53" s="1052"/>
      <c r="Z53" s="1052"/>
      <c r="AA53" s="1052"/>
      <c r="AB53" s="1052"/>
      <c r="AC53" s="1058" t="s">
        <v>3</v>
      </c>
      <c r="AD53" s="1059"/>
      <c r="AE53" s="7"/>
      <c r="AF53" s="228"/>
      <c r="AG53" s="7"/>
      <c r="AH53" s="7"/>
      <c r="AI53" s="7"/>
      <c r="AJ53" s="7"/>
    </row>
    <row r="54" spans="1:36" ht="10.5" customHeight="1">
      <c r="A54" s="167"/>
      <c r="B54" s="5"/>
      <c r="C54" s="5" t="s">
        <v>51</v>
      </c>
      <c r="D54" s="449"/>
      <c r="E54" s="1054"/>
      <c r="F54" s="1054"/>
      <c r="G54" s="1054"/>
      <c r="H54" s="1054"/>
      <c r="I54" s="1054"/>
      <c r="J54" s="1055"/>
      <c r="K54" s="163"/>
      <c r="L54" s="616"/>
      <c r="M54" s="1057"/>
      <c r="N54" s="1054"/>
      <c r="O54" s="1054"/>
      <c r="P54" s="1054"/>
      <c r="Q54" s="1054"/>
      <c r="R54" s="1054"/>
      <c r="S54" s="1054"/>
      <c r="T54" s="1054"/>
      <c r="U54" s="1055"/>
      <c r="V54" s="1057"/>
      <c r="W54" s="1054"/>
      <c r="X54" s="1054"/>
      <c r="Y54" s="1054"/>
      <c r="Z54" s="1054"/>
      <c r="AA54" s="1054"/>
      <c r="AB54" s="1054"/>
      <c r="AC54" s="1047" t="s">
        <v>36</v>
      </c>
      <c r="AD54" s="1048"/>
      <c r="AE54" s="8"/>
      <c r="AF54" s="228"/>
      <c r="AG54" s="7"/>
      <c r="AH54" s="7"/>
      <c r="AI54" s="7"/>
      <c r="AJ54" s="7"/>
    </row>
    <row r="55" spans="1:36" ht="10.5" customHeight="1">
      <c r="A55" s="167" t="s">
        <v>54</v>
      </c>
      <c r="B55" s="5" t="s">
        <v>65</v>
      </c>
      <c r="C55" s="5" t="s">
        <v>9</v>
      </c>
      <c r="D55" s="1044" t="str">
        <f>D21</f>
        <v>Бутерб. с маслом сл.</v>
      </c>
      <c r="E55" s="1044" t="str">
        <f>E21</f>
        <v xml:space="preserve">  5. /20</v>
      </c>
      <c r="F55" s="1035" t="str">
        <f>F21</f>
        <v>Каша "Янтарная"</v>
      </c>
      <c r="G55" s="1038"/>
      <c r="H55" s="1041" t="str">
        <f>H21</f>
        <v>Чай с лимоном</v>
      </c>
      <c r="I55" s="1038"/>
      <c r="J55" s="1038" t="str">
        <f>J21</f>
        <v>Батон витамин.</v>
      </c>
      <c r="K55" s="1041">
        <f t="shared" ref="K55:P55" si="4">K21</f>
        <v>0</v>
      </c>
      <c r="L55" s="1041" t="str">
        <f t="shared" si="4"/>
        <v>Фрукты порц.</v>
      </c>
      <c r="M55" s="1044" t="str">
        <f t="shared" si="4"/>
        <v>Сал из св. капусты</v>
      </c>
      <c r="N55" s="1035" t="str">
        <f t="shared" si="4"/>
        <v xml:space="preserve">Свекольник </v>
      </c>
      <c r="O55" s="1038" t="str">
        <f t="shared" si="4"/>
        <v>со сметаной</v>
      </c>
      <c r="P55" s="1035" t="str">
        <f t="shared" si="4"/>
        <v>Котлеты рыбные</v>
      </c>
      <c r="Q55" s="1038"/>
      <c r="R55" s="626"/>
      <c r="S55" s="1038" t="str">
        <f>R21</f>
        <v>Картофель туш.</v>
      </c>
      <c r="T55" s="1041" t="str">
        <f>T21</f>
        <v>Компот из сухофруктов</v>
      </c>
      <c r="U55" s="1044" t="s">
        <v>68</v>
      </c>
      <c r="V55" s="1044">
        <f>V21</f>
        <v>0</v>
      </c>
      <c r="W55" s="1044" t="str">
        <f>W21</f>
        <v>Сырники из творога</v>
      </c>
      <c r="X55" s="1038">
        <f>X23</f>
        <v>0</v>
      </c>
      <c r="Y55" s="1044" t="str">
        <f>Y21</f>
        <v>Масло сл. к сырникам</v>
      </c>
      <c r="Z55" s="1044" t="str">
        <f>Z21</f>
        <v>Молоко кипяченое</v>
      </c>
      <c r="AA55" s="1038" t="str">
        <f>AA21</f>
        <v>Хлеб йодирован. пшен.</v>
      </c>
      <c r="AB55" s="1249">
        <f>AB21</f>
        <v>0</v>
      </c>
      <c r="AC55" s="375"/>
      <c r="AD55" s="23"/>
      <c r="AE55" s="7"/>
      <c r="AF55" s="228"/>
      <c r="AG55" s="7"/>
      <c r="AH55" s="7"/>
      <c r="AI55" s="7"/>
      <c r="AJ55" s="7"/>
    </row>
    <row r="56" spans="1:36" ht="10.5" customHeight="1">
      <c r="A56" s="167"/>
      <c r="B56" s="5"/>
      <c r="C56" s="5" t="s">
        <v>10</v>
      </c>
      <c r="D56" s="1045"/>
      <c r="E56" s="1045"/>
      <c r="F56" s="1036"/>
      <c r="G56" s="1039"/>
      <c r="H56" s="1042"/>
      <c r="I56" s="1039"/>
      <c r="J56" s="1039"/>
      <c r="K56" s="1042"/>
      <c r="L56" s="1042"/>
      <c r="M56" s="1045"/>
      <c r="N56" s="1036"/>
      <c r="O56" s="1039"/>
      <c r="P56" s="1036"/>
      <c r="Q56" s="1039"/>
      <c r="R56" s="627"/>
      <c r="S56" s="1146"/>
      <c r="T56" s="1042"/>
      <c r="U56" s="1045"/>
      <c r="V56" s="1045"/>
      <c r="W56" s="1042"/>
      <c r="X56" s="1098"/>
      <c r="Y56" s="1194"/>
      <c r="Z56" s="1045"/>
      <c r="AA56" s="1039"/>
      <c r="AB56" s="1250"/>
      <c r="AC56" s="374" t="s">
        <v>6</v>
      </c>
      <c r="AD56" s="166" t="s">
        <v>4</v>
      </c>
      <c r="AE56" s="7"/>
      <c r="AF56" s="228"/>
      <c r="AG56" s="7"/>
      <c r="AH56" s="7"/>
      <c r="AI56" s="7"/>
      <c r="AJ56" s="7"/>
    </row>
    <row r="57" spans="1:36" ht="10.5" customHeight="1">
      <c r="A57" s="169"/>
      <c r="B57" s="4"/>
      <c r="C57" s="4"/>
      <c r="D57" s="1046"/>
      <c r="E57" s="1046"/>
      <c r="F57" s="1037"/>
      <c r="G57" s="1040"/>
      <c r="H57" s="1043"/>
      <c r="I57" s="1040"/>
      <c r="J57" s="1040"/>
      <c r="K57" s="1043"/>
      <c r="L57" s="1043"/>
      <c r="M57" s="1046"/>
      <c r="N57" s="1037"/>
      <c r="O57" s="1040"/>
      <c r="P57" s="1037"/>
      <c r="Q57" s="1040"/>
      <c r="R57" s="628"/>
      <c r="S57" s="1131"/>
      <c r="T57" s="1043"/>
      <c r="U57" s="1046"/>
      <c r="V57" s="1046"/>
      <c r="W57" s="1043"/>
      <c r="X57" s="1100"/>
      <c r="Y57" s="1195"/>
      <c r="Z57" s="1046"/>
      <c r="AA57" s="1040"/>
      <c r="AB57" s="1251"/>
      <c r="AC57" s="373" t="s">
        <v>7</v>
      </c>
      <c r="AD57" s="165" t="s">
        <v>5</v>
      </c>
      <c r="AE57" s="7"/>
      <c r="AF57" s="228"/>
      <c r="AG57" s="7"/>
      <c r="AH57" s="7"/>
      <c r="AI57" s="7"/>
      <c r="AJ57" s="7"/>
    </row>
    <row r="58" spans="1:36" ht="11.25" customHeight="1" thickBot="1">
      <c r="A58" s="64">
        <v>1</v>
      </c>
      <c r="B58" s="931">
        <v>2</v>
      </c>
      <c r="C58" s="72">
        <v>3</v>
      </c>
      <c r="D58" s="925">
        <v>4</v>
      </c>
      <c r="E58" s="80">
        <v>5</v>
      </c>
      <c r="F58" s="86">
        <v>6</v>
      </c>
      <c r="G58" s="925">
        <v>7</v>
      </c>
      <c r="H58" s="87">
        <v>8</v>
      </c>
      <c r="I58" s="80">
        <v>9</v>
      </c>
      <c r="J58" s="95">
        <v>10</v>
      </c>
      <c r="K58" s="96">
        <v>11</v>
      </c>
      <c r="L58" s="96">
        <v>12</v>
      </c>
      <c r="M58" s="81">
        <v>13</v>
      </c>
      <c r="N58" s="82">
        <v>14</v>
      </c>
      <c r="O58" s="93">
        <v>15</v>
      </c>
      <c r="P58" s="97">
        <v>16</v>
      </c>
      <c r="Q58" s="93">
        <v>17</v>
      </c>
      <c r="R58" s="276">
        <v>18</v>
      </c>
      <c r="S58" s="93">
        <v>19</v>
      </c>
      <c r="T58" s="96">
        <v>20</v>
      </c>
      <c r="U58" s="98">
        <v>21</v>
      </c>
      <c r="V58" s="80">
        <v>22</v>
      </c>
      <c r="W58" s="262">
        <v>23</v>
      </c>
      <c r="X58" s="96">
        <v>24</v>
      </c>
      <c r="Y58" s="96">
        <v>25</v>
      </c>
      <c r="Z58" s="81">
        <v>26</v>
      </c>
      <c r="AA58" s="96">
        <v>27</v>
      </c>
      <c r="AB58" s="276">
        <v>23</v>
      </c>
      <c r="AC58" s="86">
        <v>28</v>
      </c>
      <c r="AD58" s="924">
        <v>29</v>
      </c>
      <c r="AE58" s="7"/>
      <c r="AF58" s="228"/>
      <c r="AG58" s="7"/>
      <c r="AH58" s="7"/>
      <c r="AI58" s="7"/>
      <c r="AJ58" s="7"/>
    </row>
    <row r="59" spans="1:36" ht="18" customHeight="1" thickTop="1">
      <c r="A59" s="135"/>
      <c r="B59" s="13"/>
      <c r="C59" s="77" t="s">
        <v>72</v>
      </c>
      <c r="D59" s="294"/>
      <c r="E59" s="94"/>
      <c r="F59" s="109"/>
      <c r="G59" s="94"/>
      <c r="H59" s="109"/>
      <c r="I59" s="94"/>
      <c r="J59" s="94"/>
      <c r="K59" s="94"/>
      <c r="L59" s="130"/>
      <c r="M59" s="130"/>
      <c r="N59" s="130">
        <v>61.6</v>
      </c>
      <c r="O59" s="94"/>
      <c r="P59" s="109"/>
      <c r="Q59" s="94"/>
      <c r="R59" s="94"/>
      <c r="S59" s="130">
        <v>184</v>
      </c>
      <c r="T59" s="94"/>
      <c r="U59" s="94"/>
      <c r="V59" s="130"/>
      <c r="W59" s="266"/>
      <c r="X59" s="94"/>
      <c r="Y59" s="94"/>
      <c r="Z59" s="94"/>
      <c r="AA59" s="94"/>
      <c r="AB59" s="401"/>
      <c r="AC59" s="290"/>
      <c r="AD59" s="116"/>
      <c r="AE59" s="7"/>
      <c r="AF59" s="228"/>
      <c r="AG59" s="7"/>
      <c r="AH59" s="7"/>
      <c r="AI59" s="7"/>
    </row>
    <row r="60" spans="1:36" ht="18" customHeight="1" thickBot="1">
      <c r="A60" s="346" t="s">
        <v>26</v>
      </c>
      <c r="B60" s="347">
        <v>28</v>
      </c>
      <c r="C60" s="348" t="s">
        <v>73</v>
      </c>
      <c r="D60" s="348"/>
      <c r="E60" s="337"/>
      <c r="F60" s="338"/>
      <c r="G60" s="337"/>
      <c r="H60" s="338"/>
      <c r="I60" s="337"/>
      <c r="J60" s="337"/>
      <c r="K60" s="337"/>
      <c r="L60" s="342"/>
      <c r="M60" s="339"/>
      <c r="N60" s="339">
        <f>N59*B25/1000</f>
        <v>6.16</v>
      </c>
      <c r="O60" s="337"/>
      <c r="P60" s="338"/>
      <c r="Q60" s="337"/>
      <c r="R60" s="337"/>
      <c r="S60" s="341">
        <f>S59*B25/1000</f>
        <v>18.399999999999999</v>
      </c>
      <c r="T60" s="337"/>
      <c r="U60" s="337"/>
      <c r="V60" s="350"/>
      <c r="W60" s="345"/>
      <c r="X60" s="337"/>
      <c r="Y60" s="337"/>
      <c r="Z60" s="337"/>
      <c r="AA60" s="337"/>
      <c r="AB60" s="402"/>
      <c r="AC60" s="399">
        <f>ROUND(E60+G60+I60+J60+K60+L60+M60+N60+O60+Q60+S60+T60+U60+V60+X60+Z60+AA60+AB60,2)</f>
        <v>24.56</v>
      </c>
      <c r="AD60" s="344">
        <f>AC60*B60</f>
        <v>687.68</v>
      </c>
      <c r="AE60" s="7"/>
      <c r="AF60" s="223">
        <f t="shared" ref="AF60:AF68" si="5">AC60+AC155</f>
        <v>45.7</v>
      </c>
      <c r="AG60" s="7" t="str">
        <f>A60</f>
        <v>Картофель</v>
      </c>
      <c r="AH60" s="7"/>
      <c r="AI60" s="7"/>
    </row>
    <row r="61" spans="1:36" ht="18" customHeight="1" thickTop="1">
      <c r="A61" s="133"/>
      <c r="B61" s="122"/>
      <c r="C61" s="77" t="s">
        <v>72</v>
      </c>
      <c r="D61" s="295"/>
      <c r="E61" s="106"/>
      <c r="F61" s="112"/>
      <c r="G61" s="106"/>
      <c r="H61" s="112"/>
      <c r="I61" s="106"/>
      <c r="J61" s="106"/>
      <c r="K61" s="106"/>
      <c r="L61" s="127"/>
      <c r="M61" s="131">
        <v>49.3</v>
      </c>
      <c r="N61" s="127"/>
      <c r="O61" s="106"/>
      <c r="P61" s="112"/>
      <c r="Q61" s="106"/>
      <c r="R61" s="106"/>
      <c r="S61" s="127"/>
      <c r="T61" s="106"/>
      <c r="U61" s="106"/>
      <c r="V61" s="127"/>
      <c r="W61" s="267"/>
      <c r="X61" s="106"/>
      <c r="Y61" s="106"/>
      <c r="Z61" s="106"/>
      <c r="AA61" s="106"/>
      <c r="AB61" s="403"/>
      <c r="AC61" s="291"/>
      <c r="AD61" s="123"/>
      <c r="AE61" s="7"/>
      <c r="AF61" s="224"/>
      <c r="AG61" s="7"/>
      <c r="AH61" s="7"/>
      <c r="AI61" s="7"/>
    </row>
    <row r="62" spans="1:36" ht="18" customHeight="1" thickBot="1">
      <c r="A62" s="346" t="s">
        <v>94</v>
      </c>
      <c r="B62" s="347">
        <v>30</v>
      </c>
      <c r="C62" s="348" t="s">
        <v>73</v>
      </c>
      <c r="D62" s="348"/>
      <c r="E62" s="337"/>
      <c r="F62" s="338"/>
      <c r="G62" s="337"/>
      <c r="H62" s="338"/>
      <c r="I62" s="337"/>
      <c r="J62" s="337"/>
      <c r="K62" s="337"/>
      <c r="L62" s="358"/>
      <c r="M62" s="341">
        <f>M61*B25/1000</f>
        <v>4.93</v>
      </c>
      <c r="N62" s="340"/>
      <c r="O62" s="337"/>
      <c r="P62" s="338"/>
      <c r="Q62" s="337"/>
      <c r="R62" s="337"/>
      <c r="S62" s="341">
        <f>S61*B25/1000</f>
        <v>0</v>
      </c>
      <c r="T62" s="337"/>
      <c r="U62" s="337"/>
      <c r="V62" s="350"/>
      <c r="W62" s="345"/>
      <c r="X62" s="337"/>
      <c r="Y62" s="337"/>
      <c r="Z62" s="337"/>
      <c r="AA62" s="337"/>
      <c r="AB62" s="402"/>
      <c r="AC62" s="399">
        <f>ROUND(E62+G62+I62+J62+K62+L62+M62+N62+O62+Q62+S62+T62+U62+V62+X62+Z62+AA62+AB62,2)</f>
        <v>4.93</v>
      </c>
      <c r="AD62" s="344">
        <f>AC62*B62</f>
        <v>147.89999999999998</v>
      </c>
      <c r="AE62" s="7"/>
      <c r="AF62" s="223">
        <f t="shared" si="5"/>
        <v>7.89</v>
      </c>
      <c r="AG62" s="7" t="str">
        <f>A62</f>
        <v>Капуста свеж.</v>
      </c>
      <c r="AH62" s="7"/>
      <c r="AI62" s="7"/>
    </row>
    <row r="63" spans="1:36" ht="18" customHeight="1" thickTop="1">
      <c r="A63" s="133"/>
      <c r="B63" s="122"/>
      <c r="C63" s="77" t="s">
        <v>72</v>
      </c>
      <c r="D63" s="295"/>
      <c r="E63" s="106"/>
      <c r="F63" s="112"/>
      <c r="G63" s="106"/>
      <c r="H63" s="112"/>
      <c r="I63" s="106"/>
      <c r="J63" s="106"/>
      <c r="K63" s="106"/>
      <c r="L63" s="106"/>
      <c r="M63" s="127"/>
      <c r="N63" s="127">
        <v>9.6</v>
      </c>
      <c r="O63" s="127"/>
      <c r="P63" s="253">
        <f>8/70*P26</f>
        <v>8</v>
      </c>
      <c r="Q63" s="184">
        <f>P63/P26*Q26</f>
        <v>8</v>
      </c>
      <c r="R63" s="184"/>
      <c r="S63" s="184">
        <v>8.6999999999999993</v>
      </c>
      <c r="T63" s="127"/>
      <c r="U63" s="127"/>
      <c r="V63" s="250"/>
      <c r="W63" s="267"/>
      <c r="X63" s="106"/>
      <c r="Y63" s="106"/>
      <c r="Z63" s="106"/>
      <c r="AA63" s="106"/>
      <c r="AB63" s="403"/>
      <c r="AC63" s="291"/>
      <c r="AD63" s="124"/>
      <c r="AE63" s="7"/>
      <c r="AF63" s="224"/>
      <c r="AG63" s="7"/>
      <c r="AH63" s="7"/>
      <c r="AI63" s="7"/>
      <c r="AJ63" s="7"/>
    </row>
    <row r="64" spans="1:36" ht="18" customHeight="1" thickBot="1">
      <c r="A64" s="346" t="s">
        <v>27</v>
      </c>
      <c r="B64" s="347">
        <v>37</v>
      </c>
      <c r="C64" s="348" t="s">
        <v>73</v>
      </c>
      <c r="D64" s="348"/>
      <c r="E64" s="337"/>
      <c r="F64" s="338"/>
      <c r="G64" s="337"/>
      <c r="H64" s="338"/>
      <c r="I64" s="337"/>
      <c r="J64" s="337"/>
      <c r="K64" s="337"/>
      <c r="L64" s="337"/>
      <c r="M64" s="339"/>
      <c r="N64" s="339">
        <f>N63*B25/1000</f>
        <v>0.96</v>
      </c>
      <c r="O64" s="337"/>
      <c r="P64" s="349">
        <f>P63*P25/1000</f>
        <v>0.8</v>
      </c>
      <c r="Q64" s="339">
        <f>P64</f>
        <v>0.8</v>
      </c>
      <c r="R64" s="339"/>
      <c r="S64" s="341">
        <f>S63*B25/1000</f>
        <v>0.86999999999999988</v>
      </c>
      <c r="T64" s="337"/>
      <c r="U64" s="337"/>
      <c r="V64" s="350"/>
      <c r="W64" s="345"/>
      <c r="X64" s="337"/>
      <c r="Y64" s="337"/>
      <c r="Z64" s="337"/>
      <c r="AA64" s="337"/>
      <c r="AB64" s="402"/>
      <c r="AC64" s="399">
        <f>ROUND(E64+G64+I64+J64+K64+L64+M64+N64+O64+Q64+S64+T64+U64+V64+X64+Z64+AA64+AB64,2)</f>
        <v>2.63</v>
      </c>
      <c r="AD64" s="351">
        <f>AC64*B64</f>
        <v>97.31</v>
      </c>
      <c r="AE64" s="7"/>
      <c r="AF64" s="223">
        <f t="shared" si="5"/>
        <v>4.9499999999999993</v>
      </c>
      <c r="AG64" s="7" t="str">
        <f>A64</f>
        <v>Лук</v>
      </c>
      <c r="AH64" s="7"/>
      <c r="AI64" s="7"/>
      <c r="AJ64" s="7"/>
    </row>
    <row r="65" spans="1:36" ht="18" customHeight="1" thickTop="1">
      <c r="A65" s="133"/>
      <c r="B65" s="122"/>
      <c r="C65" s="77" t="s">
        <v>72</v>
      </c>
      <c r="D65" s="295"/>
      <c r="E65" s="106"/>
      <c r="F65" s="112"/>
      <c r="G65" s="106"/>
      <c r="H65" s="112"/>
      <c r="I65" s="106"/>
      <c r="J65" s="106"/>
      <c r="K65" s="106"/>
      <c r="L65" s="127"/>
      <c r="M65" s="131">
        <v>6.7</v>
      </c>
      <c r="N65" s="127">
        <v>13.3</v>
      </c>
      <c r="O65" s="127"/>
      <c r="P65" s="177">
        <f>23.2/70*P26</f>
        <v>23.2</v>
      </c>
      <c r="Q65" s="129">
        <f>P65/P26*Q26</f>
        <v>23.2</v>
      </c>
      <c r="R65" s="184"/>
      <c r="S65" s="184">
        <v>11.1</v>
      </c>
      <c r="T65" s="127"/>
      <c r="U65" s="127"/>
      <c r="V65" s="127"/>
      <c r="W65" s="267"/>
      <c r="X65" s="106"/>
      <c r="Y65" s="106"/>
      <c r="Z65" s="106"/>
      <c r="AA65" s="106"/>
      <c r="AB65" s="403"/>
      <c r="AC65" s="291"/>
      <c r="AD65" s="123"/>
      <c r="AE65" s="7"/>
      <c r="AF65" s="224"/>
      <c r="AG65" s="7"/>
      <c r="AH65" s="7"/>
      <c r="AI65" s="7"/>
      <c r="AJ65" s="7"/>
    </row>
    <row r="66" spans="1:36" ht="18" customHeight="1" thickBot="1">
      <c r="A66" s="346" t="s">
        <v>28</v>
      </c>
      <c r="B66" s="347">
        <v>38</v>
      </c>
      <c r="C66" s="348" t="s">
        <v>73</v>
      </c>
      <c r="D66" s="348"/>
      <c r="E66" s="337"/>
      <c r="F66" s="338"/>
      <c r="G66" s="337"/>
      <c r="H66" s="338"/>
      <c r="I66" s="337"/>
      <c r="J66" s="337"/>
      <c r="K66" s="337"/>
      <c r="L66" s="342"/>
      <c r="M66" s="341">
        <f>M65*B25/1000</f>
        <v>0.67</v>
      </c>
      <c r="N66" s="339">
        <f>N65*B25/1000</f>
        <v>1.33</v>
      </c>
      <c r="O66" s="337"/>
      <c r="P66" s="349">
        <f>P65*P25/1000</f>
        <v>2.3199999999999998</v>
      </c>
      <c r="Q66" s="341">
        <f>P66</f>
        <v>2.3199999999999998</v>
      </c>
      <c r="R66" s="339"/>
      <c r="S66" s="341">
        <f>S65*B25/1000</f>
        <v>1.1100000000000001</v>
      </c>
      <c r="T66" s="337"/>
      <c r="U66" s="337"/>
      <c r="V66" s="350"/>
      <c r="W66" s="345"/>
      <c r="X66" s="337"/>
      <c r="Y66" s="337"/>
      <c r="Z66" s="337"/>
      <c r="AA66" s="337"/>
      <c r="AB66" s="402"/>
      <c r="AC66" s="399">
        <f>ROUND(E66+G66+I66+J66+K66+L66+M66+N66+O66+Q66+S66+T66+U66+V66+X66+Z66+AA66+AB66,2)</f>
        <v>5.43</v>
      </c>
      <c r="AD66" s="344">
        <f>AC66*B66</f>
        <v>206.33999999999997</v>
      </c>
      <c r="AE66" s="7"/>
      <c r="AF66" s="223">
        <f t="shared" si="5"/>
        <v>9.9699999999999989</v>
      </c>
      <c r="AG66" s="7" t="str">
        <f>A66</f>
        <v>Морковь</v>
      </c>
      <c r="AH66" s="7"/>
      <c r="AI66" s="7"/>
      <c r="AJ66" s="7"/>
    </row>
    <row r="67" spans="1:36" ht="18" customHeight="1" thickTop="1">
      <c r="A67" s="133"/>
      <c r="B67" s="122"/>
      <c r="C67" s="77" t="s">
        <v>72</v>
      </c>
      <c r="D67" s="295"/>
      <c r="E67" s="106"/>
      <c r="F67" s="112"/>
      <c r="G67" s="106"/>
      <c r="H67" s="112"/>
      <c r="I67" s="106"/>
      <c r="J67" s="106"/>
      <c r="K67" s="106"/>
      <c r="L67" s="128"/>
      <c r="M67" s="128"/>
      <c r="N67" s="127">
        <v>43.5</v>
      </c>
      <c r="O67" s="106"/>
      <c r="P67" s="112"/>
      <c r="Q67" s="106"/>
      <c r="R67" s="106"/>
      <c r="S67" s="106"/>
      <c r="T67" s="106"/>
      <c r="U67" s="106"/>
      <c r="V67" s="127"/>
      <c r="W67" s="267"/>
      <c r="X67" s="106"/>
      <c r="Y67" s="106"/>
      <c r="Z67" s="106"/>
      <c r="AA67" s="106"/>
      <c r="AB67" s="403"/>
      <c r="AC67" s="291"/>
      <c r="AD67" s="123"/>
      <c r="AE67" s="7"/>
      <c r="AF67" s="224"/>
      <c r="AG67" s="7"/>
      <c r="AH67" s="7"/>
      <c r="AI67" s="7"/>
      <c r="AJ67" s="7"/>
    </row>
    <row r="68" spans="1:36" ht="18" customHeight="1" thickBot="1">
      <c r="A68" s="346" t="s">
        <v>87</v>
      </c>
      <c r="B68" s="347">
        <v>28</v>
      </c>
      <c r="C68" s="348" t="s">
        <v>73</v>
      </c>
      <c r="D68" s="348"/>
      <c r="E68" s="337"/>
      <c r="F68" s="338"/>
      <c r="G68" s="337"/>
      <c r="H68" s="338"/>
      <c r="I68" s="337"/>
      <c r="J68" s="337"/>
      <c r="K68" s="337"/>
      <c r="L68" s="340"/>
      <c r="M68" s="342"/>
      <c r="N68" s="339">
        <f>N67*B25/1000</f>
        <v>4.3499999999999996</v>
      </c>
      <c r="O68" s="337"/>
      <c r="P68" s="338"/>
      <c r="Q68" s="337"/>
      <c r="R68" s="337"/>
      <c r="S68" s="337"/>
      <c r="T68" s="337"/>
      <c r="U68" s="337"/>
      <c r="V68" s="340"/>
      <c r="W68" s="345"/>
      <c r="X68" s="337"/>
      <c r="Y68" s="337"/>
      <c r="Z68" s="337"/>
      <c r="AA68" s="337"/>
      <c r="AB68" s="402"/>
      <c r="AC68" s="399">
        <f>ROUND(E68+G68+I68+J68+K68+L68+M68+N68+O68+Q68+S68+T68+U68+V68+X68+Z68+AA68+AB68,2)</f>
        <v>4.3499999999999996</v>
      </c>
      <c r="AD68" s="344">
        <f>AC68*B68</f>
        <v>121.79999999999998</v>
      </c>
      <c r="AE68" s="7"/>
      <c r="AF68" s="223">
        <f t="shared" si="5"/>
        <v>8.25</v>
      </c>
      <c r="AG68" s="7" t="str">
        <f>A68</f>
        <v>Свекла стол.</v>
      </c>
      <c r="AH68" s="7"/>
      <c r="AI68" s="7"/>
      <c r="AJ68" s="7"/>
    </row>
    <row r="69" spans="1:36" ht="18" customHeight="1" thickTop="1">
      <c r="A69" s="133"/>
      <c r="B69" s="122"/>
      <c r="C69" s="77" t="s">
        <v>72</v>
      </c>
      <c r="D69" s="454">
        <v>20</v>
      </c>
      <c r="E69" s="128">
        <f>D69/D26*E26</f>
        <v>20</v>
      </c>
      <c r="F69" s="112"/>
      <c r="G69" s="106"/>
      <c r="H69" s="112"/>
      <c r="I69" s="106"/>
      <c r="J69" s="128">
        <f>J70/B25*1000</f>
        <v>20</v>
      </c>
      <c r="K69" s="106"/>
      <c r="L69" s="106"/>
      <c r="M69" s="106"/>
      <c r="N69" s="106"/>
      <c r="O69" s="106"/>
      <c r="P69" s="177">
        <f>5.8/70*P26</f>
        <v>5.8</v>
      </c>
      <c r="Q69" s="129">
        <f>P69/P26*Q26</f>
        <v>5.8</v>
      </c>
      <c r="R69" s="128"/>
      <c r="S69" s="128"/>
      <c r="T69" s="106"/>
      <c r="U69" s="106"/>
      <c r="V69" s="106"/>
      <c r="W69" s="267"/>
      <c r="X69" s="106"/>
      <c r="Y69" s="106"/>
      <c r="Z69" s="106"/>
      <c r="AA69" s="128"/>
      <c r="AB69" s="403"/>
      <c r="AC69" s="291"/>
      <c r="AD69" s="123"/>
      <c r="AE69" s="7"/>
      <c r="AF69" s="224"/>
      <c r="AG69" s="7"/>
      <c r="AH69" s="7"/>
      <c r="AI69" s="7"/>
      <c r="AJ69" s="7"/>
    </row>
    <row r="70" spans="1:36" ht="18" customHeight="1" thickBot="1">
      <c r="A70" s="346" t="s">
        <v>62</v>
      </c>
      <c r="B70" s="347">
        <v>81.099999999999994</v>
      </c>
      <c r="C70" s="348" t="s">
        <v>73</v>
      </c>
      <c r="D70" s="424">
        <f>D69*F25/1000</f>
        <v>2</v>
      </c>
      <c r="E70" s="339">
        <f>D70</f>
        <v>2</v>
      </c>
      <c r="F70" s="338"/>
      <c r="G70" s="337"/>
      <c r="H70" s="338"/>
      <c r="I70" s="337"/>
      <c r="J70" s="339">
        <v>2</v>
      </c>
      <c r="K70" s="337"/>
      <c r="L70" s="337"/>
      <c r="M70" s="337"/>
      <c r="N70" s="337"/>
      <c r="O70" s="337"/>
      <c r="P70" s="349">
        <f>P69*P25/1000</f>
        <v>0.57999999999999996</v>
      </c>
      <c r="Q70" s="341">
        <f>P70</f>
        <v>0.57999999999999996</v>
      </c>
      <c r="R70" s="340"/>
      <c r="S70" s="340"/>
      <c r="T70" s="337"/>
      <c r="U70" s="337"/>
      <c r="V70" s="337"/>
      <c r="W70" s="345"/>
      <c r="X70" s="337"/>
      <c r="Y70" s="337"/>
      <c r="Z70" s="337"/>
      <c r="AA70" s="381"/>
      <c r="AB70" s="402"/>
      <c r="AC70" s="399">
        <f>ROUND(E70+G70+I70+J70+K70+L70+M70+N70+O70+Q70+S70+T70+U70+V70+X70+Z70+AA70+AB70,2)</f>
        <v>4.58</v>
      </c>
      <c r="AD70" s="344">
        <f>AC70*B70</f>
        <v>371.43799999999999</v>
      </c>
      <c r="AE70" s="7"/>
      <c r="AF70" s="223">
        <f>AC70+AC165</f>
        <v>9.08</v>
      </c>
      <c r="AG70" s="7" t="str">
        <f>A70</f>
        <v>Батон витам.</v>
      </c>
      <c r="AH70" s="7"/>
      <c r="AI70" s="7"/>
      <c r="AJ70" s="7"/>
    </row>
    <row r="71" spans="1:36" ht="18" customHeight="1" thickTop="1">
      <c r="A71" s="133"/>
      <c r="B71" s="122"/>
      <c r="C71" s="77" t="s">
        <v>72</v>
      </c>
      <c r="D71" s="295"/>
      <c r="E71" s="106"/>
      <c r="F71" s="112"/>
      <c r="G71" s="106"/>
      <c r="H71" s="112"/>
      <c r="I71" s="106"/>
      <c r="J71" s="106"/>
      <c r="K71" s="106"/>
      <c r="L71" s="106"/>
      <c r="M71" s="106"/>
      <c r="N71" s="106"/>
      <c r="O71" s="106"/>
      <c r="P71" s="112"/>
      <c r="Q71" s="106"/>
      <c r="R71" s="106"/>
      <c r="S71" s="106"/>
      <c r="T71" s="106"/>
      <c r="U71" s="128">
        <f>U72/U25*1000</f>
        <v>40</v>
      </c>
      <c r="V71" s="106"/>
      <c r="W71" s="267"/>
      <c r="X71" s="106"/>
      <c r="Y71" s="106"/>
      <c r="Z71" s="106"/>
      <c r="AA71" s="106"/>
      <c r="AB71" s="403"/>
      <c r="AC71" s="291"/>
      <c r="AD71" s="123"/>
      <c r="AE71" s="7"/>
      <c r="AF71" s="224"/>
      <c r="AG71" s="7"/>
      <c r="AH71" s="7"/>
      <c r="AI71" s="7"/>
      <c r="AJ71" s="7"/>
    </row>
    <row r="72" spans="1:36" ht="18" customHeight="1" thickBot="1">
      <c r="A72" s="346" t="s">
        <v>82</v>
      </c>
      <c r="B72" s="347">
        <v>55</v>
      </c>
      <c r="C72" s="348" t="s">
        <v>73</v>
      </c>
      <c r="D72" s="348"/>
      <c r="E72" s="337"/>
      <c r="F72" s="338"/>
      <c r="G72" s="337"/>
      <c r="H72" s="338"/>
      <c r="I72" s="337"/>
      <c r="J72" s="337"/>
      <c r="K72" s="337"/>
      <c r="L72" s="337"/>
      <c r="M72" s="337"/>
      <c r="N72" s="337"/>
      <c r="O72" s="337"/>
      <c r="P72" s="338"/>
      <c r="Q72" s="337"/>
      <c r="R72" s="337"/>
      <c r="S72" s="337"/>
      <c r="T72" s="337"/>
      <c r="U72" s="342">
        <v>4</v>
      </c>
      <c r="V72" s="337"/>
      <c r="W72" s="345"/>
      <c r="X72" s="337"/>
      <c r="Y72" s="337"/>
      <c r="Z72" s="337"/>
      <c r="AA72" s="337"/>
      <c r="AB72" s="402"/>
      <c r="AC72" s="399">
        <f>ROUND(E72+G72+I72+J72+K72+L72+M72+N72+O72+Q72+S72+T72+U72+V72+X72+Z72+AA72+AB72,2)</f>
        <v>4</v>
      </c>
      <c r="AD72" s="344">
        <f>AC72*B72</f>
        <v>220</v>
      </c>
      <c r="AE72" s="7"/>
      <c r="AF72" s="226">
        <f>AC72+AC167</f>
        <v>7</v>
      </c>
      <c r="AG72" s="7" t="str">
        <f>A72</f>
        <v>Хлеб рж-пшен.</v>
      </c>
      <c r="AH72" s="7"/>
      <c r="AI72" s="7"/>
      <c r="AJ72" s="7"/>
    </row>
    <row r="73" spans="1:36" ht="18" customHeight="1" thickTop="1">
      <c r="A73" s="133"/>
      <c r="B73" s="122"/>
      <c r="C73" s="77" t="s">
        <v>72</v>
      </c>
      <c r="D73" s="295"/>
      <c r="E73" s="106"/>
      <c r="F73" s="112"/>
      <c r="G73" s="106"/>
      <c r="H73" s="112"/>
      <c r="I73" s="106"/>
      <c r="J73" s="106"/>
      <c r="K73" s="106"/>
      <c r="L73" s="106"/>
      <c r="M73" s="106"/>
      <c r="N73" s="106"/>
      <c r="O73" s="106"/>
      <c r="P73" s="112"/>
      <c r="Q73" s="106"/>
      <c r="R73" s="106"/>
      <c r="S73" s="106"/>
      <c r="T73" s="106"/>
      <c r="U73" s="106"/>
      <c r="V73" s="106"/>
      <c r="W73" s="267"/>
      <c r="X73" s="106"/>
      <c r="Y73" s="106"/>
      <c r="Z73" s="106"/>
      <c r="AA73" s="128">
        <f>AA74/AA25*1000</f>
        <v>20</v>
      </c>
      <c r="AB73" s="403"/>
      <c r="AC73" s="291"/>
      <c r="AD73" s="123"/>
      <c r="AE73" s="7"/>
      <c r="AF73" s="228"/>
      <c r="AG73" s="7"/>
      <c r="AH73" s="7"/>
      <c r="AI73" s="7"/>
      <c r="AJ73" s="7"/>
    </row>
    <row r="74" spans="1:36" ht="18" customHeight="1" thickBot="1">
      <c r="A74" s="346" t="s">
        <v>84</v>
      </c>
      <c r="B74" s="347">
        <v>61.3</v>
      </c>
      <c r="C74" s="348" t="s">
        <v>73</v>
      </c>
      <c r="D74" s="348"/>
      <c r="E74" s="337"/>
      <c r="F74" s="338"/>
      <c r="G74" s="337"/>
      <c r="H74" s="338"/>
      <c r="I74" s="337"/>
      <c r="J74" s="337"/>
      <c r="K74" s="337"/>
      <c r="L74" s="337"/>
      <c r="M74" s="337"/>
      <c r="N74" s="337"/>
      <c r="O74" s="337"/>
      <c r="P74" s="338"/>
      <c r="Q74" s="337"/>
      <c r="R74" s="337"/>
      <c r="S74" s="337"/>
      <c r="T74" s="337"/>
      <c r="U74" s="337"/>
      <c r="V74" s="337"/>
      <c r="W74" s="345"/>
      <c r="X74" s="337"/>
      <c r="Y74" s="337"/>
      <c r="Z74" s="337"/>
      <c r="AA74" s="342">
        <v>2</v>
      </c>
      <c r="AB74" s="402"/>
      <c r="AC74" s="399">
        <f>ROUND(E74+G74+I74+J74+K74+L74+M74+N74+O74+Q74+S74+T74+U74+V74+X74+Z74+AA74+AB74,2)</f>
        <v>2</v>
      </c>
      <c r="AD74" s="344">
        <f>AC74*B74</f>
        <v>122.6</v>
      </c>
      <c r="AE74" s="7"/>
      <c r="AF74" s="223">
        <f>AC74+AC169</f>
        <v>3</v>
      </c>
      <c r="AG74" s="7" t="str">
        <f>A74</f>
        <v xml:space="preserve">Хлеб  йод. пш. </v>
      </c>
      <c r="AH74" s="7"/>
      <c r="AI74" s="7"/>
      <c r="AJ74" s="7"/>
    </row>
    <row r="75" spans="1:36" ht="18" customHeight="1" thickTop="1">
      <c r="A75" s="133"/>
      <c r="B75" s="122"/>
      <c r="C75" s="77" t="s">
        <v>72</v>
      </c>
      <c r="D75" s="295"/>
      <c r="E75" s="106"/>
      <c r="F75" s="430"/>
      <c r="G75" s="129"/>
      <c r="H75" s="108">
        <v>8</v>
      </c>
      <c r="I75" s="129">
        <f>H75/H26*I26</f>
        <v>7.9999999999999991</v>
      </c>
      <c r="J75" s="106"/>
      <c r="K75" s="106"/>
      <c r="L75" s="106"/>
      <c r="M75" s="127"/>
      <c r="N75" s="106"/>
      <c r="O75" s="106"/>
      <c r="P75" s="112"/>
      <c r="Q75" s="106"/>
      <c r="R75" s="106"/>
      <c r="S75" s="106"/>
      <c r="T75" s="106"/>
      <c r="U75" s="106"/>
      <c r="V75" s="127"/>
      <c r="W75" s="497"/>
      <c r="X75" s="129"/>
      <c r="Y75" s="127"/>
      <c r="Z75" s="127"/>
      <c r="AA75" s="106"/>
      <c r="AB75" s="403"/>
      <c r="AC75" s="291"/>
      <c r="AD75" s="123"/>
      <c r="AE75" s="7"/>
      <c r="AF75" s="224"/>
      <c r="AG75" s="7"/>
      <c r="AH75" s="7"/>
      <c r="AI75" s="7"/>
      <c r="AJ75" s="7"/>
    </row>
    <row r="76" spans="1:36" ht="18" customHeight="1" thickBot="1">
      <c r="A76" s="346" t="s">
        <v>89</v>
      </c>
      <c r="B76" s="347">
        <v>190</v>
      </c>
      <c r="C76" s="348" t="s">
        <v>73</v>
      </c>
      <c r="D76" s="348"/>
      <c r="E76" s="337"/>
      <c r="F76" s="363"/>
      <c r="G76" s="350"/>
      <c r="H76" s="349">
        <f>H75*H25/1000</f>
        <v>0.8</v>
      </c>
      <c r="I76" s="341">
        <f>H76</f>
        <v>0.8</v>
      </c>
      <c r="J76" s="337"/>
      <c r="K76" s="337"/>
      <c r="L76" s="337"/>
      <c r="M76" s="381"/>
      <c r="N76" s="337"/>
      <c r="O76" s="337"/>
      <c r="P76" s="338"/>
      <c r="Q76" s="337"/>
      <c r="R76" s="337"/>
      <c r="S76" s="337"/>
      <c r="T76" s="337"/>
      <c r="U76" s="337"/>
      <c r="V76" s="340"/>
      <c r="W76" s="363"/>
      <c r="X76" s="341"/>
      <c r="Y76" s="339"/>
      <c r="Z76" s="358"/>
      <c r="AA76" s="337"/>
      <c r="AB76" s="402"/>
      <c r="AC76" s="399">
        <f>ROUND(E76+G76+I76+J76+K76+L76+M76+N76+O76+Q76+S76+T76+U76+V76+X76+Z76+AA76+AB76,2)</f>
        <v>0.8</v>
      </c>
      <c r="AD76" s="344">
        <f>AC76*B76</f>
        <v>152</v>
      </c>
      <c r="AE76" s="7"/>
      <c r="AF76" s="223">
        <f t="shared" ref="AF76:AF90" si="6">AC76+AC171</f>
        <v>1.2000000000000002</v>
      </c>
      <c r="AG76" s="7" t="str">
        <f>A76</f>
        <v>Лимоны</v>
      </c>
      <c r="AH76" s="7"/>
      <c r="AI76" s="7"/>
      <c r="AJ76" s="7"/>
    </row>
    <row r="77" spans="1:36" ht="18" customHeight="1" thickTop="1">
      <c r="A77" s="133"/>
      <c r="B77" s="122"/>
      <c r="C77" s="77" t="s">
        <v>72</v>
      </c>
      <c r="D77" s="295"/>
      <c r="E77" s="106"/>
      <c r="F77" s="177"/>
      <c r="G77" s="106"/>
      <c r="H77" s="112">
        <v>0.5</v>
      </c>
      <c r="I77" s="128">
        <f>H77/H26*I26</f>
        <v>0.49999999999999994</v>
      </c>
      <c r="J77" s="106"/>
      <c r="K77" s="106"/>
      <c r="L77" s="106"/>
      <c r="M77" s="106"/>
      <c r="N77" s="106"/>
      <c r="O77" s="106"/>
      <c r="P77" s="112"/>
      <c r="Q77" s="106"/>
      <c r="R77" s="106"/>
      <c r="S77" s="106"/>
      <c r="T77" s="106"/>
      <c r="U77" s="106"/>
      <c r="V77" s="106"/>
      <c r="W77" s="267"/>
      <c r="X77" s="106"/>
      <c r="Y77" s="106"/>
      <c r="Z77" s="127"/>
      <c r="AA77" s="106"/>
      <c r="AB77" s="403"/>
      <c r="AC77" s="291"/>
      <c r="AD77" s="123"/>
      <c r="AE77" s="7"/>
      <c r="AF77" s="224"/>
      <c r="AG77" s="7"/>
      <c r="AH77" s="7"/>
      <c r="AI77" s="7"/>
      <c r="AJ77" s="7"/>
    </row>
    <row r="78" spans="1:36" ht="18" customHeight="1" thickBot="1">
      <c r="A78" s="346" t="s">
        <v>29</v>
      </c>
      <c r="B78" s="347">
        <v>500</v>
      </c>
      <c r="C78" s="348" t="s">
        <v>73</v>
      </c>
      <c r="D78" s="348"/>
      <c r="E78" s="337"/>
      <c r="F78" s="349"/>
      <c r="G78" s="337"/>
      <c r="H78" s="338">
        <f>H77*H25/1000</f>
        <v>0.05</v>
      </c>
      <c r="I78" s="357">
        <f>H78</f>
        <v>0.05</v>
      </c>
      <c r="J78" s="337"/>
      <c r="K78" s="337"/>
      <c r="L78" s="337"/>
      <c r="M78" s="337"/>
      <c r="N78" s="337"/>
      <c r="O78" s="337"/>
      <c r="P78" s="338"/>
      <c r="Q78" s="337"/>
      <c r="R78" s="337"/>
      <c r="S78" s="337"/>
      <c r="T78" s="337"/>
      <c r="U78" s="337"/>
      <c r="V78" s="337"/>
      <c r="W78" s="345"/>
      <c r="X78" s="337"/>
      <c r="Y78" s="337"/>
      <c r="Z78" s="355"/>
      <c r="AA78" s="337"/>
      <c r="AB78" s="402"/>
      <c r="AC78" s="400">
        <f>ROUND(E78+G78+I78+J78+K78+L78+M78+N78+O78+Q78+S78+T78+U78+V78+X78+Z78+AA78+AB78,3)</f>
        <v>0.05</v>
      </c>
      <c r="AD78" s="344">
        <f>AC78*B78</f>
        <v>25</v>
      </c>
      <c r="AE78" s="7"/>
      <c r="AF78" s="225">
        <f t="shared" si="6"/>
        <v>0.08</v>
      </c>
      <c r="AG78" s="7" t="str">
        <f>A78</f>
        <v>Чай</v>
      </c>
      <c r="AH78" s="7"/>
      <c r="AI78" s="7"/>
      <c r="AJ78" s="7"/>
    </row>
    <row r="79" spans="1:36" ht="18" customHeight="1" thickTop="1">
      <c r="A79" s="133"/>
      <c r="B79" s="122"/>
      <c r="C79" s="77" t="s">
        <v>72</v>
      </c>
      <c r="D79" s="295"/>
      <c r="E79" s="106"/>
      <c r="F79" s="177"/>
      <c r="G79" s="106"/>
      <c r="H79" s="112"/>
      <c r="I79" s="106"/>
      <c r="J79" s="106"/>
      <c r="K79" s="106"/>
      <c r="L79" s="114">
        <f>L80/B25*1000</f>
        <v>100</v>
      </c>
      <c r="M79" s="106"/>
      <c r="N79" s="106"/>
      <c r="O79" s="106"/>
      <c r="P79" s="112"/>
      <c r="Q79" s="106"/>
      <c r="R79" s="106"/>
      <c r="S79" s="106"/>
      <c r="T79" s="106"/>
      <c r="U79" s="106"/>
      <c r="V79" s="106"/>
      <c r="W79" s="267"/>
      <c r="X79" s="106"/>
      <c r="Y79" s="106"/>
      <c r="Z79" s="127"/>
      <c r="AA79" s="106"/>
      <c r="AB79" s="403"/>
      <c r="AC79" s="291"/>
      <c r="AD79" s="123"/>
      <c r="AE79" s="7"/>
      <c r="AF79" s="224"/>
      <c r="AG79" s="7"/>
      <c r="AH79" s="7"/>
      <c r="AI79" s="7"/>
      <c r="AJ79" s="7"/>
    </row>
    <row r="80" spans="1:36" ht="18" customHeight="1" thickBot="1">
      <c r="A80" s="346" t="s">
        <v>105</v>
      </c>
      <c r="B80" s="347">
        <v>100</v>
      </c>
      <c r="C80" s="348" t="s">
        <v>73</v>
      </c>
      <c r="D80" s="348"/>
      <c r="E80" s="337"/>
      <c r="F80" s="349"/>
      <c r="G80" s="337"/>
      <c r="H80" s="338"/>
      <c r="I80" s="337"/>
      <c r="J80" s="337"/>
      <c r="K80" s="337"/>
      <c r="L80" s="342">
        <v>10</v>
      </c>
      <c r="M80" s="337"/>
      <c r="N80" s="337"/>
      <c r="O80" s="337"/>
      <c r="P80" s="338"/>
      <c r="Q80" s="337"/>
      <c r="R80" s="337"/>
      <c r="S80" s="337"/>
      <c r="T80" s="388"/>
      <c r="U80" s="337"/>
      <c r="V80" s="337"/>
      <c r="W80" s="345"/>
      <c r="X80" s="337"/>
      <c r="Y80" s="337"/>
      <c r="Z80" s="340"/>
      <c r="AA80" s="337"/>
      <c r="AB80" s="402"/>
      <c r="AC80" s="399">
        <f>ROUND(E80+G80+I80+J80+L80+M80+N80+O80+Q80+S80+T80+U80+V80+X80+Z80+AA80+AB80,2)</f>
        <v>10</v>
      </c>
      <c r="AD80" s="344">
        <f>AC80*B80</f>
        <v>1000</v>
      </c>
      <c r="AE80" s="7"/>
      <c r="AF80" s="223">
        <f t="shared" si="6"/>
        <v>20</v>
      </c>
      <c r="AG80" s="7" t="str">
        <f>A80</f>
        <v>Фрукты свеж.</v>
      </c>
      <c r="AH80" s="7"/>
      <c r="AI80" s="7"/>
      <c r="AJ80" s="7"/>
    </row>
    <row r="81" spans="1:36" ht="18" customHeight="1" thickTop="1">
      <c r="A81" s="133"/>
      <c r="B81" s="122"/>
      <c r="C81" s="77" t="s">
        <v>72</v>
      </c>
      <c r="D81" s="295"/>
      <c r="E81" s="106"/>
      <c r="F81" s="177"/>
      <c r="G81" s="106"/>
      <c r="H81" s="112"/>
      <c r="I81" s="106"/>
      <c r="J81" s="106"/>
      <c r="K81" s="106"/>
      <c r="L81" s="106"/>
      <c r="M81" s="127"/>
      <c r="N81" s="127">
        <v>2.4</v>
      </c>
      <c r="O81" s="106"/>
      <c r="P81" s="112"/>
      <c r="Q81" s="129"/>
      <c r="R81" s="129"/>
      <c r="S81" s="129">
        <v>1.6</v>
      </c>
      <c r="T81" s="106"/>
      <c r="U81" s="106"/>
      <c r="V81" s="127"/>
      <c r="W81" s="267"/>
      <c r="X81" s="106"/>
      <c r="Y81" s="106"/>
      <c r="Z81" s="106"/>
      <c r="AA81" s="106"/>
      <c r="AB81" s="403"/>
      <c r="AC81" s="291"/>
      <c r="AD81" s="123"/>
      <c r="AE81" s="7"/>
      <c r="AF81" s="224"/>
      <c r="AG81" s="7"/>
      <c r="AH81" s="7"/>
      <c r="AI81" s="7"/>
      <c r="AJ81" s="7"/>
    </row>
    <row r="82" spans="1:36" ht="18" customHeight="1" thickBot="1">
      <c r="A82" s="346" t="s">
        <v>99</v>
      </c>
      <c r="B82" s="347">
        <v>370</v>
      </c>
      <c r="C82" s="348" t="s">
        <v>73</v>
      </c>
      <c r="D82" s="348"/>
      <c r="E82" s="337"/>
      <c r="F82" s="349"/>
      <c r="G82" s="337"/>
      <c r="H82" s="338"/>
      <c r="I82" s="337"/>
      <c r="J82" s="337"/>
      <c r="K82" s="337"/>
      <c r="L82" s="337"/>
      <c r="M82" s="339"/>
      <c r="N82" s="339">
        <f>N81*B25/1000</f>
        <v>0.24</v>
      </c>
      <c r="O82" s="337"/>
      <c r="P82" s="349"/>
      <c r="Q82" s="340"/>
      <c r="R82" s="340"/>
      <c r="S82" s="341">
        <f>S81*B25/1000</f>
        <v>0.16</v>
      </c>
      <c r="T82" s="337"/>
      <c r="U82" s="337"/>
      <c r="V82" s="350"/>
      <c r="W82" s="345"/>
      <c r="X82" s="337"/>
      <c r="Y82" s="337"/>
      <c r="Z82" s="337"/>
      <c r="AA82" s="337"/>
      <c r="AB82" s="402"/>
      <c r="AC82" s="399">
        <f>ROUND(E82+G82+I82+J82+K82+L82+M82+N82+O82+Q82+S82+T82+U82+V82+X82+Z82+AA82+AB82,2)</f>
        <v>0.4</v>
      </c>
      <c r="AD82" s="344">
        <f>AC82*B82</f>
        <v>148</v>
      </c>
      <c r="AE82" s="7"/>
      <c r="AF82" s="223">
        <f t="shared" si="6"/>
        <v>0.4</v>
      </c>
      <c r="AG82" s="7" t="str">
        <f>A82</f>
        <v>Томатная паста</v>
      </c>
      <c r="AH82" s="7"/>
      <c r="AI82" s="7"/>
      <c r="AJ82" s="7"/>
    </row>
    <row r="83" spans="1:36" ht="18" customHeight="1" thickTop="1">
      <c r="A83" s="133"/>
      <c r="B83" s="122"/>
      <c r="C83" s="77" t="s">
        <v>72</v>
      </c>
      <c r="D83" s="295"/>
      <c r="E83" s="105"/>
      <c r="F83" s="177"/>
      <c r="G83" s="105"/>
      <c r="H83" s="112"/>
      <c r="I83" s="105"/>
      <c r="J83" s="105"/>
      <c r="K83" s="105"/>
      <c r="L83" s="127"/>
      <c r="M83" s="131">
        <v>0.15</v>
      </c>
      <c r="N83" s="127"/>
      <c r="O83" s="105"/>
      <c r="P83" s="112"/>
      <c r="Q83" s="105"/>
      <c r="R83" s="105"/>
      <c r="S83" s="105"/>
      <c r="T83" s="127">
        <v>0.18</v>
      </c>
      <c r="U83" s="105"/>
      <c r="V83" s="105"/>
      <c r="W83" s="545"/>
      <c r="X83" s="105"/>
      <c r="Y83" s="105"/>
      <c r="Z83" s="105"/>
      <c r="AA83" s="105"/>
      <c r="AB83" s="403"/>
      <c r="AC83" s="291"/>
      <c r="AD83" s="123"/>
      <c r="AE83" s="7"/>
      <c r="AF83" s="224"/>
      <c r="AG83" s="7"/>
      <c r="AH83" s="7"/>
      <c r="AI83" s="7"/>
      <c r="AJ83" s="7"/>
    </row>
    <row r="84" spans="1:36" ht="18" customHeight="1" thickBot="1">
      <c r="A84" s="346" t="s">
        <v>75</v>
      </c>
      <c r="B84" s="347">
        <v>900</v>
      </c>
      <c r="C84" s="348" t="s">
        <v>73</v>
      </c>
      <c r="D84" s="348"/>
      <c r="E84" s="337"/>
      <c r="F84" s="349"/>
      <c r="G84" s="337"/>
      <c r="H84" s="338"/>
      <c r="I84" s="337"/>
      <c r="J84" s="337"/>
      <c r="K84" s="337"/>
      <c r="L84" s="355"/>
      <c r="M84" s="366">
        <f>M83*B25/1000</f>
        <v>1.4999999999999999E-2</v>
      </c>
      <c r="N84" s="355"/>
      <c r="O84" s="337"/>
      <c r="P84" s="338"/>
      <c r="Q84" s="337"/>
      <c r="R84" s="337"/>
      <c r="S84" s="337"/>
      <c r="T84" s="357">
        <f>T83*B25/1000</f>
        <v>1.7999999999999999E-2</v>
      </c>
      <c r="U84" s="337"/>
      <c r="V84" s="337"/>
      <c r="W84" s="546"/>
      <c r="X84" s="340"/>
      <c r="Y84" s="340"/>
      <c r="Z84" s="337"/>
      <c r="AA84" s="337"/>
      <c r="AB84" s="402"/>
      <c r="AC84" s="400">
        <f>ROUND(E84+G84+I84+J84+K84+L84+M84+N84+O84+Q84+S84+T84+U84+V84+X84+Z84+AA84+AB84,3)</f>
        <v>3.3000000000000002E-2</v>
      </c>
      <c r="AD84" s="344">
        <f>AC84*B84</f>
        <v>29.700000000000003</v>
      </c>
      <c r="AE84" s="7"/>
      <c r="AF84" s="225">
        <f t="shared" si="6"/>
        <v>5.7000000000000002E-2</v>
      </c>
      <c r="AG84" s="7" t="str">
        <f>A84</f>
        <v>Лимонная к-та</v>
      </c>
      <c r="AH84" s="7"/>
      <c r="AI84" s="7"/>
      <c r="AJ84" s="7"/>
    </row>
    <row r="85" spans="1:36" ht="18" customHeight="1" thickTop="1">
      <c r="A85" s="141"/>
      <c r="B85" s="122"/>
      <c r="C85" s="77" t="s">
        <v>72</v>
      </c>
      <c r="D85" s="295"/>
      <c r="E85" s="106"/>
      <c r="F85" s="177"/>
      <c r="G85" s="128"/>
      <c r="H85" s="112"/>
      <c r="I85" s="106"/>
      <c r="J85" s="106"/>
      <c r="K85" s="106"/>
      <c r="L85" s="106"/>
      <c r="M85" s="106"/>
      <c r="N85" s="114"/>
      <c r="O85" s="128"/>
      <c r="P85" s="112"/>
      <c r="Q85" s="127"/>
      <c r="R85" s="112"/>
      <c r="S85" s="127"/>
      <c r="T85" s="106"/>
      <c r="U85" s="106"/>
      <c r="V85" s="106"/>
      <c r="W85" s="497">
        <f>6/80*W26</f>
        <v>6</v>
      </c>
      <c r="X85" s="129">
        <f>W85/W26*X26</f>
        <v>6</v>
      </c>
      <c r="Y85" s="127"/>
      <c r="Z85" s="106"/>
      <c r="AA85" s="106"/>
      <c r="AB85" s="403"/>
      <c r="AC85" s="291"/>
      <c r="AD85" s="123"/>
      <c r="AE85" s="7"/>
      <c r="AF85" s="224"/>
      <c r="AG85" s="7"/>
      <c r="AH85" s="7"/>
      <c r="AI85" s="7"/>
      <c r="AJ85" s="7"/>
    </row>
    <row r="86" spans="1:36" ht="18" customHeight="1" thickBot="1">
      <c r="A86" s="346" t="s">
        <v>120</v>
      </c>
      <c r="B86" s="347">
        <v>37.53</v>
      </c>
      <c r="C86" s="348" t="s">
        <v>73</v>
      </c>
      <c r="D86" s="348"/>
      <c r="E86" s="337"/>
      <c r="F86" s="349"/>
      <c r="G86" s="340"/>
      <c r="H86" s="338"/>
      <c r="I86" s="337"/>
      <c r="J86" s="337"/>
      <c r="K86" s="337"/>
      <c r="L86" s="337"/>
      <c r="M86" s="337"/>
      <c r="N86" s="424"/>
      <c r="O86" s="339"/>
      <c r="P86" s="349"/>
      <c r="Q86" s="340"/>
      <c r="R86" s="349"/>
      <c r="S86" s="339"/>
      <c r="T86" s="337"/>
      <c r="U86" s="337"/>
      <c r="V86" s="337"/>
      <c r="W86" s="363">
        <f>W85*F25/1000</f>
        <v>0.6</v>
      </c>
      <c r="X86" s="341">
        <f>ROUND(W86,2)</f>
        <v>0.6</v>
      </c>
      <c r="Y86" s="340"/>
      <c r="Z86" s="337"/>
      <c r="AA86" s="337"/>
      <c r="AB86" s="402"/>
      <c r="AC86" s="399">
        <f>ROUND(E86+G86+I86+J86+K86+L86+M86+N86+O86+Q86+S86+T86+U86+V86+X86+Z86+AA86+AB86,2)</f>
        <v>0.6</v>
      </c>
      <c r="AD86" s="344">
        <f>AC86*B86</f>
        <v>22.518000000000001</v>
      </c>
      <c r="AE86" s="7"/>
      <c r="AF86" s="223">
        <f t="shared" si="6"/>
        <v>1.2</v>
      </c>
      <c r="AG86" s="7" t="str">
        <f>A86</f>
        <v>Манная кр.</v>
      </c>
      <c r="AH86" s="7"/>
      <c r="AI86" s="7"/>
      <c r="AJ86" s="7"/>
    </row>
    <row r="87" spans="1:36" ht="18" customHeight="1" thickTop="1">
      <c r="A87" s="133"/>
      <c r="B87" s="122"/>
      <c r="C87" s="77" t="s">
        <v>72</v>
      </c>
      <c r="D87" s="295"/>
      <c r="E87" s="106"/>
      <c r="F87" s="177">
        <v>0.6</v>
      </c>
      <c r="G87" s="128">
        <f>F87/F26*G26</f>
        <v>0.6</v>
      </c>
      <c r="H87" s="112"/>
      <c r="I87" s="106"/>
      <c r="J87" s="106"/>
      <c r="K87" s="106"/>
      <c r="L87" s="679"/>
      <c r="M87" s="131">
        <v>0.1</v>
      </c>
      <c r="N87" s="127">
        <v>0.5</v>
      </c>
      <c r="O87" s="106"/>
      <c r="P87" s="112">
        <v>0.4</v>
      </c>
      <c r="Q87" s="128">
        <f>Q88/B25*1000</f>
        <v>0.4</v>
      </c>
      <c r="R87" s="128"/>
      <c r="S87" s="128">
        <v>1.3</v>
      </c>
      <c r="T87" s="106"/>
      <c r="U87" s="106"/>
      <c r="V87" s="127"/>
      <c r="W87" s="543">
        <v>0.3</v>
      </c>
      <c r="X87" s="127"/>
      <c r="Y87" s="127"/>
      <c r="Z87" s="106"/>
      <c r="AA87" s="106"/>
      <c r="AB87" s="403"/>
      <c r="AC87" s="291"/>
      <c r="AD87" s="123"/>
      <c r="AE87" s="7"/>
      <c r="AF87" s="224"/>
      <c r="AG87" s="7"/>
      <c r="AH87" s="7"/>
      <c r="AI87" s="7"/>
      <c r="AJ87" s="7"/>
    </row>
    <row r="88" spans="1:36" ht="18" customHeight="1" thickBot="1">
      <c r="A88" s="346" t="s">
        <v>138</v>
      </c>
      <c r="B88" s="347">
        <v>28</v>
      </c>
      <c r="C88" s="348" t="s">
        <v>73</v>
      </c>
      <c r="D88" s="348"/>
      <c r="E88" s="337"/>
      <c r="F88" s="349">
        <f>F87*F25/1000</f>
        <v>0.06</v>
      </c>
      <c r="G88" s="339">
        <f>ROUND(F88,2)</f>
        <v>0.06</v>
      </c>
      <c r="H88" s="338"/>
      <c r="I88" s="337"/>
      <c r="J88" s="337"/>
      <c r="K88" s="337"/>
      <c r="L88" s="372"/>
      <c r="M88" s="341">
        <f>M87*B25/1000</f>
        <v>0.01</v>
      </c>
      <c r="N88" s="339">
        <f>N87*B25/1000</f>
        <v>0.05</v>
      </c>
      <c r="O88" s="337"/>
      <c r="P88" s="349">
        <f>P87*P25/1000</f>
        <v>0.04</v>
      </c>
      <c r="Q88" s="339">
        <f>ROUND(P88,2)</f>
        <v>0.04</v>
      </c>
      <c r="R88" s="339"/>
      <c r="S88" s="341">
        <f>S87*B25/1000</f>
        <v>0.13</v>
      </c>
      <c r="T88" s="337"/>
      <c r="U88" s="337"/>
      <c r="V88" s="340"/>
      <c r="W88" s="544">
        <f>ROUND(W87*B25/1000,2)</f>
        <v>0.03</v>
      </c>
      <c r="X88" s="339"/>
      <c r="Y88" s="339"/>
      <c r="Z88" s="337"/>
      <c r="AA88" s="337"/>
      <c r="AB88" s="402"/>
      <c r="AC88" s="399">
        <f>ROUND(E88+G88+I88+J88+K88+L88+M88+N88+O88+Q88+S88+T88+U88+W88+V88+X88+Z88+AA88+AB88,2)</f>
        <v>0.32</v>
      </c>
      <c r="AD88" s="344">
        <f>AC88*B88</f>
        <v>8.9600000000000009</v>
      </c>
      <c r="AE88" s="7"/>
      <c r="AF88" s="223">
        <f t="shared" si="6"/>
        <v>0.59000000000000008</v>
      </c>
      <c r="AG88" s="7" t="str">
        <f>A88</f>
        <v>Соль иодиров.</v>
      </c>
      <c r="AH88" s="7"/>
      <c r="AI88" s="7"/>
      <c r="AJ88" s="7"/>
    </row>
    <row r="89" spans="1:36" ht="18" customHeight="1" thickTop="1">
      <c r="A89" s="133"/>
      <c r="B89" s="122"/>
      <c r="C89" s="77" t="s">
        <v>72</v>
      </c>
      <c r="D89" s="295"/>
      <c r="E89" s="106"/>
      <c r="F89" s="112"/>
      <c r="G89" s="106"/>
      <c r="H89" s="112"/>
      <c r="I89" s="106"/>
      <c r="J89" s="106"/>
      <c r="K89" s="106"/>
      <c r="L89" s="127"/>
      <c r="M89" s="106"/>
      <c r="N89" s="106"/>
      <c r="O89" s="106"/>
      <c r="P89" s="112"/>
      <c r="Q89" s="106"/>
      <c r="R89" s="106"/>
      <c r="S89" s="106"/>
      <c r="T89" s="106"/>
      <c r="U89" s="106"/>
      <c r="V89" s="106"/>
      <c r="W89" s="543"/>
      <c r="X89" s="127"/>
      <c r="Y89" s="127"/>
      <c r="Z89" s="106"/>
      <c r="AA89" s="106"/>
      <c r="AB89" s="403"/>
      <c r="AC89" s="291"/>
      <c r="AD89" s="123"/>
      <c r="AE89" s="7"/>
      <c r="AF89" s="224"/>
      <c r="AG89" s="7"/>
      <c r="AH89" s="7"/>
      <c r="AI89" s="7"/>
      <c r="AJ89" s="7"/>
    </row>
    <row r="90" spans="1:36" ht="18" customHeight="1" thickBot="1">
      <c r="A90" s="346"/>
      <c r="B90" s="347"/>
      <c r="C90" s="348" t="s">
        <v>73</v>
      </c>
      <c r="D90" s="348"/>
      <c r="E90" s="337"/>
      <c r="F90" s="338"/>
      <c r="G90" s="337"/>
      <c r="H90" s="338"/>
      <c r="I90" s="337"/>
      <c r="J90" s="337"/>
      <c r="K90" s="337"/>
      <c r="L90" s="342"/>
      <c r="M90" s="337"/>
      <c r="N90" s="337"/>
      <c r="O90" s="337"/>
      <c r="P90" s="338"/>
      <c r="Q90" s="337"/>
      <c r="R90" s="337"/>
      <c r="S90" s="337"/>
      <c r="T90" s="337"/>
      <c r="U90" s="337"/>
      <c r="V90" s="337"/>
      <c r="W90" s="547"/>
      <c r="X90" s="357"/>
      <c r="Y90" s="357"/>
      <c r="Z90" s="337"/>
      <c r="AA90" s="337"/>
      <c r="AB90" s="402"/>
      <c r="AC90" s="399">
        <f>ROUND(E90+G90+I90+J90+K90+L90+M90+N90+O90+Q90+S90+T90+U90+V90+X90+Z90+AA90+AB90,2)</f>
        <v>0</v>
      </c>
      <c r="AD90" s="344">
        <f>AC90*B90</f>
        <v>0</v>
      </c>
      <c r="AE90" s="7"/>
      <c r="AF90" s="225">
        <f t="shared" si="6"/>
        <v>0</v>
      </c>
      <c r="AG90" s="7">
        <f>A90</f>
        <v>0</v>
      </c>
      <c r="AH90" s="7"/>
      <c r="AI90" s="7"/>
      <c r="AJ90" s="7"/>
    </row>
    <row r="91" spans="1:36" ht="18" customHeight="1">
      <c r="A91" s="136"/>
      <c r="B91" s="6"/>
      <c r="C91" s="75"/>
      <c r="D91" s="75"/>
      <c r="E91" s="105"/>
      <c r="F91" s="112"/>
      <c r="G91" s="105"/>
      <c r="H91" s="112"/>
      <c r="I91" s="105"/>
      <c r="J91" s="105"/>
      <c r="K91" s="105"/>
      <c r="L91" s="105"/>
      <c r="M91" s="105"/>
      <c r="N91" s="105"/>
      <c r="O91" s="105"/>
      <c r="P91" s="112"/>
      <c r="Q91" s="105"/>
      <c r="R91" s="105"/>
      <c r="S91" s="105"/>
      <c r="T91" s="105"/>
      <c r="U91" s="105"/>
      <c r="V91" s="105"/>
      <c r="W91" s="545"/>
      <c r="X91" s="105"/>
      <c r="Y91" s="105"/>
      <c r="Z91" s="105"/>
      <c r="AA91" s="105"/>
      <c r="AB91" s="403"/>
      <c r="AC91" s="291"/>
      <c r="AD91" s="126">
        <f>AD28+AD30+AD32+AD34+AD36+AD38+AD40+AD42+AD44+AD46+AD48+AD50+AD60+AD62+AD64+AD66+AD68+AD70+AD72+AD74+AD76+AD78+AD80+AD82+AD84+AD86+AD88+AD90</f>
        <v>11210.652199999999</v>
      </c>
      <c r="AE91" s="7"/>
      <c r="AF91" s="7"/>
      <c r="AG91" s="7"/>
      <c r="AH91" s="7"/>
      <c r="AI91" s="7"/>
      <c r="AJ91" s="7"/>
    </row>
    <row r="92" spans="1:36" ht="9.75" customHeight="1"/>
    <row r="93" spans="1:36">
      <c r="A93" s="43" t="s">
        <v>311</v>
      </c>
      <c r="T93" s="43" t="s">
        <v>30</v>
      </c>
      <c r="AD93" s="118">
        <f>J13</f>
        <v>11000</v>
      </c>
    </row>
    <row r="94" spans="1:36" ht="9" customHeight="1">
      <c r="A94" s="43" t="s">
        <v>50</v>
      </c>
      <c r="T94" s="43" t="s">
        <v>31</v>
      </c>
    </row>
    <row r="95" spans="1:36" ht="19.5" customHeight="1">
      <c r="A95" s="43" t="s">
        <v>323</v>
      </c>
      <c r="T95" s="43" t="s">
        <v>334</v>
      </c>
    </row>
    <row r="96" spans="1:36" ht="9" customHeight="1">
      <c r="A96" s="43" t="s">
        <v>37</v>
      </c>
      <c r="T96" s="43" t="s">
        <v>31</v>
      </c>
    </row>
    <row r="97" spans="1:30" ht="10.5" customHeight="1">
      <c r="A97" s="3" t="s">
        <v>321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7"/>
      <c r="W97" s="10"/>
      <c r="X97" s="10"/>
      <c r="Y97" s="10"/>
      <c r="Z97" s="10"/>
      <c r="AA97" s="10"/>
      <c r="AB97" s="10"/>
      <c r="AC97" s="11"/>
      <c r="AD97" s="11"/>
    </row>
    <row r="98" spans="1:30" ht="18">
      <c r="A98" s="9" t="s">
        <v>2</v>
      </c>
      <c r="B98" s="8"/>
      <c r="C98" s="8"/>
      <c r="D98" s="8"/>
      <c r="E98" s="8"/>
      <c r="F98" s="11"/>
      <c r="G98" s="8"/>
      <c r="H98" s="8"/>
      <c r="I98" s="8"/>
      <c r="J98" s="8"/>
      <c r="K98" s="8"/>
      <c r="L98" s="8"/>
      <c r="M98" s="8"/>
      <c r="N98" s="8"/>
      <c r="O98" s="1060" t="s">
        <v>80</v>
      </c>
      <c r="P98" s="1060"/>
      <c r="Q98" s="1060"/>
      <c r="R98" s="1060"/>
      <c r="S98" s="1060"/>
      <c r="T98" s="1060"/>
      <c r="U98" s="1060"/>
      <c r="V98" s="1060"/>
      <c r="W98" s="1060"/>
      <c r="X98" s="1060"/>
      <c r="Y98" s="1060"/>
      <c r="Z98" s="1060"/>
      <c r="AA98" s="1060"/>
      <c r="AB98" s="1060"/>
      <c r="AC98" s="1060"/>
      <c r="AD98" s="1060"/>
    </row>
    <row r="99" spans="1:30" ht="18.75">
      <c r="A99" s="757" t="str">
        <f>A4</f>
        <v>"08"   января  2024  г.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"/>
    </row>
    <row r="100" spans="1:30" ht="2.25" customHeight="1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2"/>
      <c r="N100" s="3"/>
      <c r="O100" s="2"/>
      <c r="P100" s="2"/>
      <c r="Q100" s="2"/>
      <c r="R100" s="2"/>
      <c r="S100" s="2"/>
      <c r="T100" s="2"/>
      <c r="U100" s="1"/>
      <c r="V100" s="7"/>
      <c r="W100" s="7"/>
      <c r="X100" s="7"/>
      <c r="Y100" s="7"/>
      <c r="Z100" s="7"/>
      <c r="AA100" s="7"/>
      <c r="AB100" s="7"/>
    </row>
    <row r="101" spans="1:30" ht="13.5" thickBot="1">
      <c r="A101" s="1048" t="s">
        <v>42</v>
      </c>
      <c r="B101" s="1048"/>
      <c r="C101" s="1048"/>
      <c r="D101" s="729"/>
      <c r="E101" s="1047" t="s">
        <v>35</v>
      </c>
      <c r="F101" s="1048"/>
      <c r="G101" s="1049"/>
      <c r="H101" s="1047" t="s">
        <v>60</v>
      </c>
      <c r="I101" s="1048"/>
      <c r="J101" s="1047" t="s">
        <v>58</v>
      </c>
      <c r="K101" s="1048"/>
      <c r="L101" s="1048"/>
      <c r="M101" s="1048"/>
      <c r="N101" s="31"/>
      <c r="O101" s="21"/>
      <c r="P101" s="31"/>
      <c r="Q101" s="21"/>
      <c r="R101" s="3"/>
      <c r="S101" s="3"/>
      <c r="T101" s="7"/>
      <c r="U101" s="7"/>
      <c r="V101" s="7"/>
      <c r="W101" s="7"/>
      <c r="X101" s="7"/>
      <c r="Y101" s="7"/>
      <c r="Z101" s="7"/>
      <c r="AA101" s="1088"/>
      <c r="AB101" s="1089"/>
      <c r="AC101" s="1088" t="s">
        <v>0</v>
      </c>
      <c r="AD101" s="1089"/>
    </row>
    <row r="102" spans="1:30" ht="9" customHeight="1">
      <c r="A102" s="1059" t="s">
        <v>43</v>
      </c>
      <c r="B102" s="1059"/>
      <c r="C102" s="1059"/>
      <c r="D102" s="726"/>
      <c r="E102" s="1065" t="s">
        <v>34</v>
      </c>
      <c r="F102" s="1066"/>
      <c r="G102" s="1067"/>
      <c r="H102" s="1065" t="s">
        <v>12</v>
      </c>
      <c r="I102" s="1066"/>
      <c r="J102" s="1065" t="s">
        <v>15</v>
      </c>
      <c r="K102" s="1066"/>
      <c r="L102" s="1066"/>
      <c r="M102" s="1108"/>
      <c r="N102" s="1065" t="s">
        <v>14</v>
      </c>
      <c r="O102" s="1067"/>
      <c r="P102" s="1065" t="s">
        <v>55</v>
      </c>
      <c r="Q102" s="1067"/>
      <c r="R102" s="536"/>
      <c r="S102" s="1106" t="str">
        <f>S7</f>
        <v>на"09" января  2024 г</v>
      </c>
      <c r="T102" s="1138"/>
      <c r="U102" s="1138"/>
      <c r="V102" s="1138"/>
      <c r="W102" s="1138"/>
      <c r="X102" s="1138"/>
      <c r="Y102" s="1050" t="s">
        <v>190</v>
      </c>
      <c r="Z102" s="1156"/>
      <c r="AA102" s="1090"/>
      <c r="AB102" s="1248"/>
      <c r="AC102" s="1248" t="s">
        <v>23</v>
      </c>
      <c r="AD102" s="1091"/>
    </row>
    <row r="103" spans="1:30" ht="13.5" customHeight="1" thickBot="1">
      <c r="A103" s="730" t="s">
        <v>44</v>
      </c>
      <c r="B103" s="1047" t="s">
        <v>46</v>
      </c>
      <c r="C103" s="1048"/>
      <c r="D103" s="726"/>
      <c r="E103" s="1065" t="s">
        <v>39</v>
      </c>
      <c r="F103" s="1066"/>
      <c r="G103" s="1067"/>
      <c r="H103" s="1065" t="s">
        <v>49</v>
      </c>
      <c r="I103" s="1066"/>
      <c r="J103" s="1065" t="s">
        <v>59</v>
      </c>
      <c r="K103" s="1066"/>
      <c r="L103" s="1066"/>
      <c r="M103" s="1066"/>
      <c r="N103" s="1065" t="s">
        <v>40</v>
      </c>
      <c r="O103" s="1067"/>
      <c r="P103" s="1065" t="s">
        <v>56</v>
      </c>
      <c r="Q103" s="1067"/>
      <c r="R103" s="536"/>
      <c r="S103" s="1138"/>
      <c r="T103" s="1138"/>
      <c r="U103" s="1138"/>
      <c r="V103" s="1138"/>
      <c r="W103" s="1138"/>
      <c r="X103" s="1138"/>
      <c r="AA103" s="755"/>
      <c r="AB103" s="46"/>
      <c r="AC103" s="46"/>
      <c r="AD103" s="756"/>
    </row>
    <row r="104" spans="1:30" ht="13.5" thickBot="1">
      <c r="A104" s="727" t="s">
        <v>45</v>
      </c>
      <c r="B104" s="1065" t="s">
        <v>47</v>
      </c>
      <c r="C104" s="1108"/>
      <c r="D104" s="725"/>
      <c r="E104" s="1065" t="s">
        <v>38</v>
      </c>
      <c r="F104" s="1066"/>
      <c r="G104" s="1067"/>
      <c r="H104" s="1065" t="s">
        <v>13</v>
      </c>
      <c r="I104" s="1066"/>
      <c r="J104" s="1065" t="s">
        <v>38</v>
      </c>
      <c r="K104" s="1066"/>
      <c r="L104" s="1066"/>
      <c r="M104" s="1066"/>
      <c r="N104" s="25"/>
      <c r="O104" s="3"/>
      <c r="P104" s="1065" t="s">
        <v>57</v>
      </c>
      <c r="Q104" s="1067"/>
      <c r="R104" s="536"/>
      <c r="S104" s="3" t="s">
        <v>194</v>
      </c>
      <c r="T104" s="548"/>
      <c r="U104" s="548"/>
      <c r="V104" s="120"/>
      <c r="W104" s="120"/>
      <c r="X104" s="120"/>
      <c r="Y104" s="120"/>
      <c r="Z104" s="746" t="s">
        <v>191</v>
      </c>
      <c r="AA104" s="749"/>
      <c r="AB104" s="752"/>
      <c r="AC104" s="752"/>
      <c r="AD104" s="708"/>
    </row>
    <row r="105" spans="1:30" ht="4.5" customHeight="1">
      <c r="A105" s="17"/>
      <c r="B105" s="1058" t="s">
        <v>48</v>
      </c>
      <c r="C105" s="1059"/>
      <c r="D105" s="726"/>
      <c r="E105" s="723"/>
      <c r="F105" s="3"/>
      <c r="G105" s="30"/>
      <c r="H105" s="3"/>
      <c r="I105" s="3"/>
      <c r="J105" s="1058"/>
      <c r="K105" s="1059"/>
      <c r="L105" s="1059"/>
      <c r="M105" s="1059"/>
      <c r="N105" s="25"/>
      <c r="O105" s="3"/>
      <c r="P105" s="25"/>
      <c r="Q105" s="17"/>
      <c r="R105" s="3"/>
      <c r="T105" s="709" t="s">
        <v>96</v>
      </c>
      <c r="Z105" s="32"/>
      <c r="AA105" s="702"/>
      <c r="AB105" s="32"/>
      <c r="AC105" s="32"/>
      <c r="AD105" s="56"/>
    </row>
    <row r="106" spans="1:30" ht="13.5" customHeight="1" thickBot="1">
      <c r="A106" s="58">
        <v>1</v>
      </c>
      <c r="B106" s="62"/>
      <c r="C106" s="63">
        <v>2</v>
      </c>
      <c r="D106" s="292"/>
      <c r="E106" s="731"/>
      <c r="F106" s="731">
        <v>3</v>
      </c>
      <c r="G106" s="733"/>
      <c r="H106" s="731"/>
      <c r="I106" s="731">
        <v>4</v>
      </c>
      <c r="J106" s="731"/>
      <c r="K106" s="731"/>
      <c r="L106" s="731"/>
      <c r="M106" s="731">
        <v>5</v>
      </c>
      <c r="N106" s="732"/>
      <c r="O106" s="731"/>
      <c r="P106" s="1104">
        <v>7</v>
      </c>
      <c r="Q106" s="1105"/>
      <c r="R106" s="537"/>
      <c r="S106" s="1074" t="s">
        <v>307</v>
      </c>
      <c r="T106" s="1061"/>
      <c r="U106" s="1061"/>
      <c r="V106" s="1061"/>
      <c r="W106" s="1061"/>
      <c r="X106" s="1061"/>
      <c r="Y106" s="1061"/>
      <c r="Z106" s="699" t="s">
        <v>199</v>
      </c>
      <c r="AA106" s="743"/>
      <c r="AB106" s="750"/>
      <c r="AC106" s="705"/>
      <c r="AD106" s="744"/>
    </row>
    <row r="107" spans="1:30">
      <c r="A107" s="37"/>
      <c r="B107" s="38"/>
      <c r="C107" s="38"/>
      <c r="D107" s="38"/>
      <c r="E107" s="38"/>
      <c r="F107" s="38"/>
      <c r="G107" s="39"/>
      <c r="H107" s="38"/>
      <c r="I107" s="38"/>
      <c r="J107" s="38"/>
      <c r="K107" s="38"/>
      <c r="L107" s="38"/>
      <c r="M107" s="38"/>
      <c r="N107" s="40"/>
      <c r="O107" s="39"/>
      <c r="P107" s="41"/>
      <c r="Q107" s="42"/>
      <c r="R107" s="3"/>
      <c r="S107" s="1061"/>
      <c r="T107" s="1061"/>
      <c r="U107" s="1061"/>
      <c r="V107" s="1061"/>
      <c r="W107" s="1061"/>
      <c r="X107" s="1061"/>
      <c r="Y107" s="1061"/>
      <c r="Z107" s="56"/>
      <c r="AA107" s="32"/>
      <c r="AB107" s="8"/>
      <c r="AC107" s="32"/>
      <c r="AD107" s="56"/>
    </row>
    <row r="108" spans="1:30" ht="16.5" thickBot="1">
      <c r="A108" s="780" t="s">
        <v>201</v>
      </c>
      <c r="B108" s="28"/>
      <c r="C108" s="28"/>
      <c r="D108" s="28"/>
      <c r="E108" s="28"/>
      <c r="F108" s="28"/>
      <c r="G108" s="218">
        <f>G13</f>
        <v>110</v>
      </c>
      <c r="H108" s="28"/>
      <c r="I108" s="140">
        <f>B120</f>
        <v>100</v>
      </c>
      <c r="J108" s="1075">
        <f>G108*I108</f>
        <v>11000</v>
      </c>
      <c r="K108" s="1114"/>
      <c r="L108" s="1114"/>
      <c r="M108" s="1069"/>
      <c r="N108" s="1068">
        <f>AD186/B120</f>
        <v>100.92233700000001</v>
      </c>
      <c r="O108" s="1069"/>
      <c r="P108" s="14"/>
      <c r="Q108" s="52"/>
      <c r="R108" s="3"/>
      <c r="S108" s="3"/>
      <c r="T108" s="710" t="str">
        <f>T13</f>
        <v>"Детский сад № 31 г. Ельца"</v>
      </c>
      <c r="U108" s="2"/>
      <c r="V108" s="538"/>
      <c r="W108" s="7"/>
      <c r="X108" s="7"/>
      <c r="Y108" s="7"/>
      <c r="Z108" s="699"/>
      <c r="AA108" s="753"/>
      <c r="AB108" s="750"/>
      <c r="AC108" s="705"/>
      <c r="AD108" s="704"/>
    </row>
    <row r="109" spans="1:30" ht="9.75" customHeight="1" thickBot="1">
      <c r="A109" s="766"/>
      <c r="B109" s="48"/>
      <c r="C109" s="45"/>
      <c r="D109" s="45"/>
      <c r="E109" s="45"/>
      <c r="F109" s="45"/>
      <c r="G109" s="49"/>
      <c r="H109" s="45"/>
      <c r="I109" s="45"/>
      <c r="J109" s="28"/>
      <c r="K109" s="28"/>
      <c r="L109" s="28"/>
      <c r="M109" s="28"/>
      <c r="N109" s="51"/>
      <c r="O109" s="27"/>
      <c r="P109" s="14"/>
      <c r="Q109" s="52"/>
      <c r="R109" s="3"/>
      <c r="S109" s="3"/>
      <c r="T109" s="7"/>
      <c r="U109" s="7"/>
      <c r="Y109" s="32"/>
      <c r="Z109" s="56"/>
      <c r="AA109" s="32"/>
      <c r="AB109" s="8"/>
      <c r="AC109" s="32"/>
      <c r="AD109" s="56"/>
    </row>
    <row r="110" spans="1:30" ht="19.5" thickBot="1">
      <c r="A110" s="769"/>
      <c r="B110" s="38"/>
      <c r="C110" s="38"/>
      <c r="D110" s="38"/>
      <c r="E110" s="38"/>
      <c r="F110" s="38"/>
      <c r="G110" s="38"/>
      <c r="H110" s="38"/>
      <c r="I110" s="42" t="s">
        <v>33</v>
      </c>
      <c r="J110" s="3"/>
      <c r="K110" s="3"/>
      <c r="L110" s="3"/>
      <c r="M110" s="3"/>
      <c r="N110" s="1246">
        <f>N108*B120</f>
        <v>10092.233700000001</v>
      </c>
      <c r="O110" s="1247"/>
      <c r="P110" s="32"/>
      <c r="Q110" s="15"/>
      <c r="R110" s="3"/>
      <c r="S110" s="3" t="s">
        <v>193</v>
      </c>
      <c r="T110" s="7"/>
      <c r="U110" s="7"/>
      <c r="V110" s="549"/>
      <c r="W110" s="711" t="str">
        <f>W15</f>
        <v>Глухова Г.В.</v>
      </c>
      <c r="Z110" s="56"/>
      <c r="AA110" s="66"/>
      <c r="AB110" s="750"/>
      <c r="AC110" s="747"/>
      <c r="AD110" s="67"/>
    </row>
    <row r="111" spans="1:30" ht="9" customHeight="1">
      <c r="A111" s="3"/>
      <c r="B111" s="3"/>
      <c r="C111" s="3"/>
      <c r="D111" s="3"/>
      <c r="E111" s="3"/>
      <c r="F111" s="3"/>
      <c r="G111" s="3"/>
      <c r="H111" s="3"/>
      <c r="I111" s="3"/>
      <c r="J111" s="38"/>
      <c r="K111" s="38"/>
      <c r="L111" s="38"/>
      <c r="M111" s="38"/>
      <c r="N111" s="38"/>
      <c r="O111" s="38"/>
      <c r="P111" s="41"/>
      <c r="Q111" s="38"/>
      <c r="R111" s="3"/>
      <c r="S111" s="3"/>
      <c r="T111" s="7"/>
      <c r="U111" s="7"/>
      <c r="Z111" s="32"/>
      <c r="AA111" s="32"/>
    </row>
    <row r="112" spans="1:30" ht="2.2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7"/>
      <c r="V112" s="7"/>
      <c r="W112" s="7"/>
      <c r="X112" s="7"/>
      <c r="Y112" s="7"/>
      <c r="Z112" s="7"/>
      <c r="AA112" s="7"/>
      <c r="AB112" s="7"/>
      <c r="AC112" s="8"/>
      <c r="AD112" s="8"/>
    </row>
    <row r="113" spans="1:30">
      <c r="A113" s="26" t="s">
        <v>53</v>
      </c>
      <c r="B113" s="20"/>
      <c r="C113" s="65"/>
      <c r="D113" s="488"/>
      <c r="E113" s="14"/>
      <c r="F113" s="14"/>
      <c r="G113" s="14"/>
      <c r="H113" s="14"/>
      <c r="I113" s="14"/>
      <c r="J113" s="14"/>
      <c r="K113" s="14"/>
      <c r="L113" s="14"/>
      <c r="M113" s="14"/>
      <c r="N113" s="28" t="s">
        <v>41</v>
      </c>
      <c r="O113" s="14"/>
      <c r="P113" s="14"/>
      <c r="Q113" s="14"/>
      <c r="R113" s="14"/>
      <c r="S113" s="14"/>
      <c r="T113" s="28"/>
      <c r="U113" s="28"/>
      <c r="V113" s="14"/>
      <c r="W113" s="14"/>
      <c r="X113" s="14"/>
      <c r="Y113" s="14"/>
      <c r="Z113" s="14"/>
      <c r="AA113" s="14"/>
      <c r="AB113" s="14"/>
      <c r="AC113" s="1047" t="s">
        <v>8</v>
      </c>
      <c r="AD113" s="1048"/>
    </row>
    <row r="114" spans="1:30" ht="9.75" customHeight="1">
      <c r="A114" s="170"/>
      <c r="B114" s="19"/>
      <c r="C114" s="5" t="s">
        <v>52</v>
      </c>
      <c r="D114" s="449"/>
      <c r="E114" s="1052" t="s">
        <v>108</v>
      </c>
      <c r="F114" s="1084"/>
      <c r="G114" s="1084"/>
      <c r="H114" s="1084"/>
      <c r="I114" s="1084"/>
      <c r="J114" s="1223"/>
      <c r="K114" s="173" t="s">
        <v>69</v>
      </c>
      <c r="L114" s="615"/>
      <c r="M114" s="1056" t="s">
        <v>16</v>
      </c>
      <c r="N114" s="1052"/>
      <c r="O114" s="1052"/>
      <c r="P114" s="1052"/>
      <c r="Q114" s="1052"/>
      <c r="R114" s="1052"/>
      <c r="S114" s="1052"/>
      <c r="T114" s="1052"/>
      <c r="U114" s="1053"/>
      <c r="V114" s="1056" t="s">
        <v>17</v>
      </c>
      <c r="W114" s="1052"/>
      <c r="X114" s="1052"/>
      <c r="Y114" s="1052"/>
      <c r="Z114" s="1052"/>
      <c r="AA114" s="1052"/>
      <c r="AB114" s="1052"/>
      <c r="AC114" s="1058" t="s">
        <v>3</v>
      </c>
      <c r="AD114" s="1059"/>
    </row>
    <row r="115" spans="1:30" ht="3" customHeight="1">
      <c r="A115" s="172"/>
      <c r="B115" s="5"/>
      <c r="C115" s="5" t="s">
        <v>51</v>
      </c>
      <c r="D115" s="449"/>
      <c r="E115" s="1054"/>
      <c r="F115" s="1054"/>
      <c r="G115" s="1054"/>
      <c r="H115" s="1054"/>
      <c r="I115" s="1054"/>
      <c r="J115" s="1055"/>
      <c r="K115" s="174"/>
      <c r="L115" s="616"/>
      <c r="M115" s="1057"/>
      <c r="N115" s="1054"/>
      <c r="O115" s="1054"/>
      <c r="P115" s="1054"/>
      <c r="Q115" s="1054"/>
      <c r="R115" s="1054"/>
      <c r="S115" s="1054"/>
      <c r="T115" s="1054"/>
      <c r="U115" s="1055"/>
      <c r="V115" s="1057"/>
      <c r="W115" s="1054"/>
      <c r="X115" s="1054"/>
      <c r="Y115" s="1054"/>
      <c r="Z115" s="1054"/>
      <c r="AA115" s="1054"/>
      <c r="AB115" s="1054"/>
      <c r="AC115" s="1047" t="s">
        <v>36</v>
      </c>
      <c r="AD115" s="1048"/>
    </row>
    <row r="116" spans="1:30" ht="12.75" customHeight="1">
      <c r="A116" s="172" t="s">
        <v>54</v>
      </c>
      <c r="B116" s="5"/>
      <c r="C116" s="70" t="s">
        <v>9</v>
      </c>
      <c r="D116" s="1101" t="s">
        <v>168</v>
      </c>
      <c r="E116" s="1081" t="s">
        <v>169</v>
      </c>
      <c r="F116" s="1041" t="s">
        <v>154</v>
      </c>
      <c r="G116" s="1145"/>
      <c r="H116" s="1041" t="s">
        <v>248</v>
      </c>
      <c r="I116" s="1129"/>
      <c r="J116" s="1038" t="s">
        <v>127</v>
      </c>
      <c r="K116" s="1038"/>
      <c r="L116" s="1035" t="s">
        <v>131</v>
      </c>
      <c r="M116" s="1044" t="s">
        <v>261</v>
      </c>
      <c r="N116" s="1035" t="s">
        <v>141</v>
      </c>
      <c r="O116" s="1038" t="s">
        <v>92</v>
      </c>
      <c r="P116" s="1041" t="s">
        <v>265</v>
      </c>
      <c r="Q116" s="1149" t="s">
        <v>264</v>
      </c>
      <c r="R116" s="1041" t="s">
        <v>161</v>
      </c>
      <c r="S116" s="1096"/>
      <c r="T116" s="1041" t="s">
        <v>63</v>
      </c>
      <c r="U116" s="1044" t="s">
        <v>68</v>
      </c>
      <c r="V116" s="1044"/>
      <c r="W116" s="1078" t="s">
        <v>262</v>
      </c>
      <c r="X116" s="920"/>
      <c r="Y116" s="1038" t="s">
        <v>263</v>
      </c>
      <c r="Z116" s="1044" t="s">
        <v>156</v>
      </c>
      <c r="AA116" s="1038" t="s">
        <v>70</v>
      </c>
      <c r="AB116" s="1243"/>
      <c r="AC116" s="24"/>
      <c r="AD116" s="23"/>
    </row>
    <row r="117" spans="1:30">
      <c r="A117" s="172"/>
      <c r="B117" s="5"/>
      <c r="C117" s="70" t="s">
        <v>10</v>
      </c>
      <c r="D117" s="1102"/>
      <c r="E117" s="1082"/>
      <c r="F117" s="1042"/>
      <c r="G117" s="1241"/>
      <c r="H117" s="1042"/>
      <c r="I117" s="1239"/>
      <c r="J117" s="1039"/>
      <c r="K117" s="1039"/>
      <c r="L117" s="1036"/>
      <c r="M117" s="1045"/>
      <c r="N117" s="1036"/>
      <c r="O117" s="1039"/>
      <c r="P117" s="1042"/>
      <c r="Q117" s="1150"/>
      <c r="R117" s="1097"/>
      <c r="S117" s="1098"/>
      <c r="T117" s="1042"/>
      <c r="U117" s="1045"/>
      <c r="V117" s="1045"/>
      <c r="W117" s="1079"/>
      <c r="X117" s="921"/>
      <c r="Y117" s="1146"/>
      <c r="Z117" s="1045"/>
      <c r="AA117" s="1039"/>
      <c r="AB117" s="1244"/>
      <c r="AC117" s="19" t="s">
        <v>6</v>
      </c>
      <c r="AD117" s="171" t="s">
        <v>4</v>
      </c>
    </row>
    <row r="118" spans="1:30" ht="87" customHeight="1">
      <c r="A118" s="176"/>
      <c r="B118" s="4"/>
      <c r="C118" s="71"/>
      <c r="D118" s="1103"/>
      <c r="E118" s="1083"/>
      <c r="F118" s="1043"/>
      <c r="G118" s="1242"/>
      <c r="H118" s="1043"/>
      <c r="I118" s="1240"/>
      <c r="J118" s="1040"/>
      <c r="K118" s="1040"/>
      <c r="L118" s="1037"/>
      <c r="M118" s="1046"/>
      <c r="N118" s="1037"/>
      <c r="O118" s="1040"/>
      <c r="P118" s="1043"/>
      <c r="Q118" s="1151"/>
      <c r="R118" s="1099"/>
      <c r="S118" s="1100"/>
      <c r="T118" s="1043"/>
      <c r="U118" s="1046"/>
      <c r="V118" s="1046"/>
      <c r="W118" s="1080"/>
      <c r="X118" s="922"/>
      <c r="Y118" s="1131"/>
      <c r="Z118" s="1046"/>
      <c r="AA118" s="1040"/>
      <c r="AB118" s="1245"/>
      <c r="AC118" s="4" t="s">
        <v>7</v>
      </c>
      <c r="AD118" s="175" t="s">
        <v>5</v>
      </c>
    </row>
    <row r="119" spans="1:30" ht="11.25" customHeight="1">
      <c r="A119" s="64">
        <v>1</v>
      </c>
      <c r="B119" s="931">
        <v>2</v>
      </c>
      <c r="C119" s="72">
        <v>3</v>
      </c>
      <c r="D119" s="925">
        <v>4</v>
      </c>
      <c r="E119" s="80">
        <v>5</v>
      </c>
      <c r="F119" s="86">
        <v>6</v>
      </c>
      <c r="G119" s="925">
        <v>7</v>
      </c>
      <c r="H119" s="87">
        <v>8</v>
      </c>
      <c r="I119" s="80">
        <v>9</v>
      </c>
      <c r="J119" s="95">
        <v>10</v>
      </c>
      <c r="K119" s="96">
        <v>11</v>
      </c>
      <c r="L119" s="96">
        <v>12</v>
      </c>
      <c r="M119" s="81">
        <v>13</v>
      </c>
      <c r="N119" s="82">
        <v>14</v>
      </c>
      <c r="O119" s="93">
        <v>15</v>
      </c>
      <c r="P119" s="97">
        <v>16</v>
      </c>
      <c r="Q119" s="93">
        <v>17</v>
      </c>
      <c r="R119" s="276">
        <v>18</v>
      </c>
      <c r="S119" s="93">
        <v>19</v>
      </c>
      <c r="T119" s="96">
        <v>20</v>
      </c>
      <c r="U119" s="98">
        <v>21</v>
      </c>
      <c r="V119" s="80">
        <v>22</v>
      </c>
      <c r="W119" s="262">
        <v>23</v>
      </c>
      <c r="X119" s="96">
        <v>24</v>
      </c>
      <c r="Y119" s="96">
        <v>25</v>
      </c>
      <c r="Z119" s="81">
        <v>26</v>
      </c>
      <c r="AA119" s="96">
        <v>27</v>
      </c>
      <c r="AB119" s="276">
        <v>23</v>
      </c>
      <c r="AC119" s="86">
        <v>28</v>
      </c>
      <c r="AD119" s="924">
        <v>29</v>
      </c>
    </row>
    <row r="120" spans="1:30" ht="15.75">
      <c r="A120" s="16" t="s">
        <v>18</v>
      </c>
      <c r="B120" s="221">
        <v>100</v>
      </c>
      <c r="C120" s="73"/>
      <c r="D120" s="89">
        <f>F120</f>
        <v>100</v>
      </c>
      <c r="E120" s="99">
        <f>B120</f>
        <v>100</v>
      </c>
      <c r="F120" s="222">
        <v>100</v>
      </c>
      <c r="G120" s="99">
        <f>B120</f>
        <v>100</v>
      </c>
      <c r="H120" s="89">
        <f>F120</f>
        <v>100</v>
      </c>
      <c r="I120" s="99">
        <f>B120</f>
        <v>100</v>
      </c>
      <c r="J120" s="99">
        <f>B120</f>
        <v>100</v>
      </c>
      <c r="K120" s="99"/>
      <c r="L120" s="99">
        <f>B120</f>
        <v>100</v>
      </c>
      <c r="M120" s="99">
        <f>B120</f>
        <v>100</v>
      </c>
      <c r="N120" s="99">
        <f>B120</f>
        <v>100</v>
      </c>
      <c r="O120" s="99">
        <f>B120</f>
        <v>100</v>
      </c>
      <c r="P120" s="109">
        <f>F120</f>
        <v>100</v>
      </c>
      <c r="Q120" s="99">
        <f>B120</f>
        <v>100</v>
      </c>
      <c r="R120" s="540">
        <f>F120</f>
        <v>100</v>
      </c>
      <c r="S120" s="99">
        <f>B120</f>
        <v>100</v>
      </c>
      <c r="T120" s="99">
        <f>B120</f>
        <v>100</v>
      </c>
      <c r="U120" s="99">
        <f>B120</f>
        <v>100</v>
      </c>
      <c r="V120" s="99"/>
      <c r="W120" s="436">
        <f>F120</f>
        <v>100</v>
      </c>
      <c r="X120" s="99">
        <f>B120</f>
        <v>100</v>
      </c>
      <c r="Y120" s="99">
        <f>B120</f>
        <v>100</v>
      </c>
      <c r="Z120" s="99">
        <f>B120</f>
        <v>100</v>
      </c>
      <c r="AA120" s="99">
        <f>B120</f>
        <v>100</v>
      </c>
      <c r="AB120" s="83"/>
      <c r="AC120" s="12" t="s">
        <v>66</v>
      </c>
      <c r="AD120" s="68" t="s">
        <v>64</v>
      </c>
    </row>
    <row r="121" spans="1:30" ht="16.5" thickBot="1">
      <c r="A121" s="59" t="s">
        <v>19</v>
      </c>
      <c r="B121" s="60"/>
      <c r="C121" s="74"/>
      <c r="D121" s="304">
        <v>25</v>
      </c>
      <c r="E121" s="119">
        <f>D121*F120/B120</f>
        <v>25</v>
      </c>
      <c r="F121" s="91">
        <v>150</v>
      </c>
      <c r="G121" s="119">
        <f>F121*F120/B120</f>
        <v>150</v>
      </c>
      <c r="H121" s="91">
        <v>150</v>
      </c>
      <c r="I121" s="119">
        <f>H121*H120/B120</f>
        <v>150</v>
      </c>
      <c r="J121" s="119">
        <f>J165/B120*1000</f>
        <v>20</v>
      </c>
      <c r="K121" s="119"/>
      <c r="L121" s="119">
        <f>L175/B120*1000</f>
        <v>100</v>
      </c>
      <c r="M121" s="119">
        <v>30</v>
      </c>
      <c r="N121" s="100">
        <v>180</v>
      </c>
      <c r="O121" s="119">
        <f>O137/B120*1000</f>
        <v>5</v>
      </c>
      <c r="P121" s="110">
        <v>60</v>
      </c>
      <c r="Q121" s="119">
        <f>P121*P120/B120</f>
        <v>60</v>
      </c>
      <c r="R121" s="541">
        <v>60</v>
      </c>
      <c r="S121" s="119">
        <v>110</v>
      </c>
      <c r="T121" s="100">
        <v>150</v>
      </c>
      <c r="U121" s="119">
        <f>U167/B120*1000</f>
        <v>30</v>
      </c>
      <c r="V121" s="100"/>
      <c r="W121" s="138">
        <v>80</v>
      </c>
      <c r="X121" s="119">
        <f>W121*F120/B120</f>
        <v>80</v>
      </c>
      <c r="Y121" s="119">
        <v>20</v>
      </c>
      <c r="Z121" s="119">
        <f>Z129/B120/1.05*1000</f>
        <v>150.47619047619045</v>
      </c>
      <c r="AA121" s="119">
        <f>AA169/B120*1000</f>
        <v>10</v>
      </c>
      <c r="AB121" s="84"/>
      <c r="AC121" s="61"/>
      <c r="AD121" s="69"/>
    </row>
    <row r="122" spans="1:30" ht="15" customHeight="1" thickTop="1">
      <c r="A122" s="133"/>
      <c r="B122" s="5"/>
      <c r="C122" s="77" t="s">
        <v>72</v>
      </c>
      <c r="D122" s="293"/>
      <c r="E122" s="88"/>
      <c r="F122" s="92"/>
      <c r="G122" s="88"/>
      <c r="H122" s="107"/>
      <c r="I122" s="88"/>
      <c r="J122" s="88"/>
      <c r="K122" s="88"/>
      <c r="L122" s="88"/>
      <c r="M122" s="88"/>
      <c r="N122" s="88"/>
      <c r="O122" s="88"/>
      <c r="P122" s="177">
        <f>64/60*P121</f>
        <v>64</v>
      </c>
      <c r="Q122" s="129">
        <f>P122/P121*Q121</f>
        <v>64</v>
      </c>
      <c r="R122" s="129"/>
      <c r="S122" s="129"/>
      <c r="T122" s="88"/>
      <c r="U122" s="88"/>
      <c r="V122" s="88"/>
      <c r="W122" s="542"/>
      <c r="X122" s="88"/>
      <c r="Y122" s="88"/>
      <c r="Z122" s="88"/>
      <c r="AA122" s="88"/>
      <c r="AB122" s="396"/>
      <c r="AC122" s="287"/>
      <c r="AD122" s="79"/>
    </row>
    <row r="123" spans="1:30" ht="17.25" customHeight="1" thickBot="1">
      <c r="A123" s="634" t="str">
        <f>A28</f>
        <v xml:space="preserve">Минтай с/м потр. </v>
      </c>
      <c r="B123" s="347">
        <f>B28</f>
        <v>137.69999999999999</v>
      </c>
      <c r="C123" s="348" t="s">
        <v>73</v>
      </c>
      <c r="D123" s="423"/>
      <c r="E123" s="350"/>
      <c r="F123" s="363"/>
      <c r="G123" s="350"/>
      <c r="H123" s="349"/>
      <c r="I123" s="350"/>
      <c r="J123" s="350"/>
      <c r="K123" s="350"/>
      <c r="L123" s="350"/>
      <c r="M123" s="350"/>
      <c r="N123" s="350"/>
      <c r="O123" s="350"/>
      <c r="P123" s="349">
        <f>P122*P120/1000</f>
        <v>6.4</v>
      </c>
      <c r="Q123" s="341">
        <f>P123</f>
        <v>6.4</v>
      </c>
      <c r="R123" s="341"/>
      <c r="S123" s="341"/>
      <c r="T123" s="350"/>
      <c r="U123" s="350"/>
      <c r="V123" s="350"/>
      <c r="W123" s="360"/>
      <c r="X123" s="350"/>
      <c r="Y123" s="350"/>
      <c r="Z123" s="350"/>
      <c r="AA123" s="350"/>
      <c r="AB123" s="397"/>
      <c r="AC123" s="399">
        <f>ROUND(E123+G123+I123+J123+K123+L123+M123+N123+O123+Q123+S123+T123+U123+V123+X123+Z123+AA123+AB123,2)</f>
        <v>6.4</v>
      </c>
      <c r="AD123" s="368">
        <f>AC123*B123</f>
        <v>881.28</v>
      </c>
    </row>
    <row r="124" spans="1:30" ht="15" customHeight="1" thickTop="1">
      <c r="A124" s="133"/>
      <c r="B124" s="213"/>
      <c r="C124" s="427" t="s">
        <v>72</v>
      </c>
      <c r="D124" s="451">
        <v>5</v>
      </c>
      <c r="E124" s="129">
        <f>D124/D121*E121</f>
        <v>5</v>
      </c>
      <c r="F124" s="430">
        <v>4</v>
      </c>
      <c r="G124" s="129">
        <f>F124/F121*G121</f>
        <v>4</v>
      </c>
      <c r="H124" s="108"/>
      <c r="I124" s="88"/>
      <c r="J124" s="88"/>
      <c r="K124" s="88"/>
      <c r="L124" s="88"/>
      <c r="M124" s="131"/>
      <c r="N124" s="131">
        <v>4.8</v>
      </c>
      <c r="O124" s="88"/>
      <c r="P124" s="177"/>
      <c r="Q124" s="129"/>
      <c r="R124" s="129"/>
      <c r="S124" s="129">
        <v>1.3</v>
      </c>
      <c r="T124" s="88"/>
      <c r="U124" s="88"/>
      <c r="V124" s="131"/>
      <c r="W124" s="497"/>
      <c r="X124" s="129"/>
      <c r="Y124" s="129">
        <v>5</v>
      </c>
      <c r="Z124" s="88"/>
      <c r="AA124" s="88"/>
      <c r="AB124" s="396"/>
      <c r="AC124" s="288"/>
      <c r="AD124" s="123"/>
    </row>
    <row r="125" spans="1:30" ht="16.5" thickBot="1">
      <c r="A125" s="346" t="str">
        <f>A30</f>
        <v>Масло слив.</v>
      </c>
      <c r="B125" s="347">
        <f>B30</f>
        <v>595</v>
      </c>
      <c r="C125" s="348" t="s">
        <v>73</v>
      </c>
      <c r="D125" s="452">
        <f>D124*F120/1000</f>
        <v>0.5</v>
      </c>
      <c r="E125" s="341">
        <f>D125</f>
        <v>0.5</v>
      </c>
      <c r="F125" s="363">
        <f>F124*F120/1000</f>
        <v>0.4</v>
      </c>
      <c r="G125" s="341">
        <f>ROUND(F125,2)</f>
        <v>0.4</v>
      </c>
      <c r="H125" s="349"/>
      <c r="I125" s="350"/>
      <c r="J125" s="350"/>
      <c r="K125" s="350"/>
      <c r="L125" s="350"/>
      <c r="M125" s="341"/>
      <c r="N125" s="341">
        <f>ROUND(N124*B120/1000,2)</f>
        <v>0.48</v>
      </c>
      <c r="O125" s="350"/>
      <c r="P125" s="349"/>
      <c r="Q125" s="350"/>
      <c r="R125" s="350"/>
      <c r="S125" s="341">
        <f>S124*B120/1000</f>
        <v>0.13</v>
      </c>
      <c r="T125" s="350"/>
      <c r="U125" s="350"/>
      <c r="V125" s="341"/>
      <c r="W125" s="363"/>
      <c r="X125" s="341"/>
      <c r="Y125" s="341">
        <f>Y124*B120/1000</f>
        <v>0.5</v>
      </c>
      <c r="Z125" s="350"/>
      <c r="AA125" s="350"/>
      <c r="AB125" s="397"/>
      <c r="AC125" s="399">
        <f>ROUND(E125+G125+I125+J125+K125+L125+M125+N125+O125+Q125+S125+T125+U125+V125+X125+Y125+Z125+AA125+AB125,2)</f>
        <v>2.0099999999999998</v>
      </c>
      <c r="AD125" s="344">
        <f>AC125*B125</f>
        <v>1195.9499999999998</v>
      </c>
    </row>
    <row r="126" spans="1:30" ht="15" customHeight="1" thickTop="1">
      <c r="A126" s="133"/>
      <c r="B126" s="215"/>
      <c r="C126" s="77" t="s">
        <v>72</v>
      </c>
      <c r="D126" s="293"/>
      <c r="E126" s="88"/>
      <c r="F126" s="430"/>
      <c r="G126" s="88"/>
      <c r="H126" s="108"/>
      <c r="I126" s="88"/>
      <c r="J126" s="88"/>
      <c r="K126" s="88"/>
      <c r="L126" s="131"/>
      <c r="M126" s="131">
        <v>1.5</v>
      </c>
      <c r="N126" s="131"/>
      <c r="O126" s="88"/>
      <c r="P126" s="177">
        <f>1.5/60*P121</f>
        <v>1.5</v>
      </c>
      <c r="Q126" s="129">
        <f>P126/P121*Q121</f>
        <v>1.5</v>
      </c>
      <c r="R126" s="129"/>
      <c r="S126" s="129">
        <v>5.5</v>
      </c>
      <c r="T126" s="88"/>
      <c r="U126" s="88"/>
      <c r="V126" s="131"/>
      <c r="W126" s="497">
        <f>0.8/80*W121</f>
        <v>0.8</v>
      </c>
      <c r="X126" s="129">
        <f>W126/W121*X121</f>
        <v>0.8</v>
      </c>
      <c r="Y126" s="131"/>
      <c r="Z126" s="88"/>
      <c r="AA126" s="88"/>
      <c r="AB126" s="396"/>
      <c r="AC126" s="288"/>
      <c r="AD126" s="123"/>
    </row>
    <row r="127" spans="1:30" ht="16.5" thickBot="1">
      <c r="A127" s="346" t="str">
        <f>A32</f>
        <v>Масло раст.</v>
      </c>
      <c r="B127" s="347">
        <f>B32</f>
        <v>104.42</v>
      </c>
      <c r="C127" s="348" t="s">
        <v>73</v>
      </c>
      <c r="D127" s="423"/>
      <c r="E127" s="350"/>
      <c r="F127" s="363"/>
      <c r="G127" s="350"/>
      <c r="H127" s="349"/>
      <c r="I127" s="350"/>
      <c r="J127" s="350"/>
      <c r="K127" s="350"/>
      <c r="L127" s="341"/>
      <c r="M127" s="341">
        <f>M126*B120/1000</f>
        <v>0.15</v>
      </c>
      <c r="N127" s="341"/>
      <c r="O127" s="350"/>
      <c r="P127" s="349">
        <f>P126*P120/1000</f>
        <v>0.15</v>
      </c>
      <c r="Q127" s="341">
        <f>P127</f>
        <v>0.15</v>
      </c>
      <c r="R127" s="341"/>
      <c r="S127" s="341">
        <f>S126*B120/1000</f>
        <v>0.55000000000000004</v>
      </c>
      <c r="T127" s="350"/>
      <c r="U127" s="350"/>
      <c r="V127" s="350"/>
      <c r="W127" s="363">
        <f>W126*F120/1000</f>
        <v>0.08</v>
      </c>
      <c r="X127" s="341">
        <f>W127</f>
        <v>0.08</v>
      </c>
      <c r="Y127" s="341"/>
      <c r="Z127" s="350"/>
      <c r="AA127" s="350"/>
      <c r="AB127" s="397"/>
      <c r="AC127" s="399">
        <f>ROUND(E127+G127+I127+J127+K127+L127+M127+N127+O127+Q127+S127+T127+U127+V127+X127+Z127+AA127+AB127,2)</f>
        <v>0.93</v>
      </c>
      <c r="AD127" s="344">
        <f>AC127*B127</f>
        <v>97.110600000000005</v>
      </c>
    </row>
    <row r="128" spans="1:30" ht="15" customHeight="1" thickTop="1">
      <c r="A128" s="133"/>
      <c r="B128" s="213"/>
      <c r="C128" s="427" t="s">
        <v>72</v>
      </c>
      <c r="D128" s="293"/>
      <c r="E128" s="88"/>
      <c r="F128" s="539">
        <v>82</v>
      </c>
      <c r="G128" s="129">
        <f>F128/F121*G121</f>
        <v>82</v>
      </c>
      <c r="H128" s="108"/>
      <c r="I128" s="129"/>
      <c r="J128" s="88"/>
      <c r="K128" s="88"/>
      <c r="L128" s="88"/>
      <c r="M128" s="131"/>
      <c r="N128" s="88"/>
      <c r="O128" s="88"/>
      <c r="P128" s="177">
        <f>6/60*P121</f>
        <v>6</v>
      </c>
      <c r="Q128" s="129">
        <f>P128/P121*Q121</f>
        <v>6</v>
      </c>
      <c r="R128" s="129"/>
      <c r="S128" s="129"/>
      <c r="T128" s="88"/>
      <c r="U128" s="88"/>
      <c r="V128" s="88"/>
      <c r="W128" s="264"/>
      <c r="X128" s="131"/>
      <c r="Y128" s="131"/>
      <c r="Z128" s="131">
        <f>Z129/B120*1000</f>
        <v>158</v>
      </c>
      <c r="AA128" s="88"/>
      <c r="AB128" s="396"/>
      <c r="AC128" s="288"/>
      <c r="AD128" s="123"/>
    </row>
    <row r="129" spans="1:30" ht="16.5" thickBot="1">
      <c r="A129" s="346" t="str">
        <f>A34</f>
        <v>Молоко св.</v>
      </c>
      <c r="B129" s="347">
        <f>B34</f>
        <v>67.8</v>
      </c>
      <c r="C129" s="348" t="s">
        <v>73</v>
      </c>
      <c r="D129" s="423"/>
      <c r="E129" s="350"/>
      <c r="F129" s="363">
        <f>F128*F120/1000</f>
        <v>8.1999999999999993</v>
      </c>
      <c r="G129" s="365">
        <f>F129</f>
        <v>8.1999999999999993</v>
      </c>
      <c r="H129" s="468"/>
      <c r="I129" s="341"/>
      <c r="J129" s="350"/>
      <c r="K129" s="350"/>
      <c r="L129" s="350"/>
      <c r="M129" s="350"/>
      <c r="N129" s="350"/>
      <c r="O129" s="350"/>
      <c r="P129" s="349">
        <f>P128*P120/1000</f>
        <v>0.6</v>
      </c>
      <c r="Q129" s="365">
        <f>P129</f>
        <v>0.6</v>
      </c>
      <c r="R129" s="366"/>
      <c r="S129" s="350"/>
      <c r="T129" s="350"/>
      <c r="U129" s="350"/>
      <c r="V129" s="350"/>
      <c r="W129" s="360"/>
      <c r="X129" s="367"/>
      <c r="Y129" s="341"/>
      <c r="Z129" s="365">
        <v>15.8</v>
      </c>
      <c r="AA129" s="350"/>
      <c r="AB129" s="397"/>
      <c r="AC129" s="400">
        <f>ROUND(E129+G129+I129+J129+K129+L129+M129+N129+O129+Q129+S129+T129+U129+V129+X129+Y129+Z129+AA129+AB129,3)</f>
        <v>24.6</v>
      </c>
      <c r="AD129" s="344">
        <f>AC129*B129</f>
        <v>1667.88</v>
      </c>
    </row>
    <row r="130" spans="1:30" ht="15.75" customHeight="1" thickTop="1">
      <c r="A130" s="133"/>
      <c r="B130" s="213"/>
      <c r="C130" s="427" t="s">
        <v>72</v>
      </c>
      <c r="D130" s="293"/>
      <c r="E130" s="88"/>
      <c r="F130" s="539"/>
      <c r="G130" s="129"/>
      <c r="H130" s="108"/>
      <c r="I130" s="88"/>
      <c r="J130" s="88"/>
      <c r="K130" s="88"/>
      <c r="L130" s="88"/>
      <c r="M130" s="88"/>
      <c r="N130" s="88"/>
      <c r="O130" s="129"/>
      <c r="P130" s="177"/>
      <c r="Q130" s="88"/>
      <c r="R130" s="88"/>
      <c r="S130" s="88"/>
      <c r="T130" s="88"/>
      <c r="U130" s="88"/>
      <c r="V130" s="88"/>
      <c r="W130" s="497">
        <f>75/80*W121</f>
        <v>75</v>
      </c>
      <c r="X130" s="178">
        <f>W130/W121*X121</f>
        <v>75</v>
      </c>
      <c r="Y130" s="129"/>
      <c r="Z130" s="88"/>
      <c r="AA130" s="88"/>
      <c r="AB130" s="396"/>
      <c r="AC130" s="288"/>
      <c r="AD130" s="123"/>
    </row>
    <row r="131" spans="1:30" ht="16.5" thickBot="1">
      <c r="A131" s="346" t="str">
        <f>A36</f>
        <v>Творог</v>
      </c>
      <c r="B131" s="347">
        <f>B36</f>
        <v>319.5</v>
      </c>
      <c r="C131" s="348" t="s">
        <v>73</v>
      </c>
      <c r="D131" s="423"/>
      <c r="E131" s="350"/>
      <c r="F131" s="363"/>
      <c r="G131" s="404"/>
      <c r="H131" s="349"/>
      <c r="I131" s="350"/>
      <c r="J131" s="350"/>
      <c r="K131" s="350"/>
      <c r="L131" s="350"/>
      <c r="M131" s="350"/>
      <c r="N131" s="350"/>
      <c r="O131" s="341"/>
      <c r="P131" s="349"/>
      <c r="Q131" s="350"/>
      <c r="R131" s="350"/>
      <c r="S131" s="350"/>
      <c r="T131" s="350"/>
      <c r="U131" s="350"/>
      <c r="V131" s="350"/>
      <c r="W131" s="363">
        <f>W130*F120/1000</f>
        <v>7.5</v>
      </c>
      <c r="X131" s="341">
        <f>ROUND(W131,2)</f>
        <v>7.5</v>
      </c>
      <c r="Y131" s="341"/>
      <c r="Z131" s="350"/>
      <c r="AA131" s="350"/>
      <c r="AB131" s="397"/>
      <c r="AC131" s="399">
        <f>ROUND(E131+G131+I131+J131+K131+L131+M131+N131+O131+Q131+S131+T131+U131+V131+X131+Z131+AA131+AB131,2)</f>
        <v>7.5</v>
      </c>
      <c r="AD131" s="344">
        <f>AC131*B131</f>
        <v>2396.25</v>
      </c>
    </row>
    <row r="132" spans="1:30" ht="15" customHeight="1" thickTop="1">
      <c r="A132" s="133"/>
      <c r="B132" s="215"/>
      <c r="C132" s="77" t="s">
        <v>72</v>
      </c>
      <c r="D132" s="293"/>
      <c r="E132" s="88"/>
      <c r="F132" s="430"/>
      <c r="G132" s="129"/>
      <c r="H132" s="108"/>
      <c r="I132" s="88"/>
      <c r="J132" s="88"/>
      <c r="K132" s="88"/>
      <c r="L132" s="568"/>
      <c r="M132" s="88"/>
      <c r="N132" s="88"/>
      <c r="O132" s="88"/>
      <c r="P132" s="497">
        <f>3.5/60*P121</f>
        <v>3.5</v>
      </c>
      <c r="Q132" s="129">
        <f>P132/P121*Q121</f>
        <v>3.5</v>
      </c>
      <c r="R132" s="129"/>
      <c r="S132" s="129"/>
      <c r="T132" s="88"/>
      <c r="U132" s="88"/>
      <c r="V132" s="88"/>
      <c r="W132" s="497">
        <f>3.2/80*W121</f>
        <v>3.2</v>
      </c>
      <c r="X132" s="129">
        <f>W132/W121*X121</f>
        <v>3.2</v>
      </c>
      <c r="Y132" s="129"/>
      <c r="Z132" s="88"/>
      <c r="AA132" s="88"/>
      <c r="AB132" s="396"/>
      <c r="AC132" s="288"/>
      <c r="AD132" s="123"/>
    </row>
    <row r="133" spans="1:30" ht="16.5" thickBot="1">
      <c r="A133" s="346" t="str">
        <f>A38</f>
        <v>Яйцо</v>
      </c>
      <c r="B133" s="347">
        <f>B38</f>
        <v>10</v>
      </c>
      <c r="C133" s="348" t="s">
        <v>74</v>
      </c>
      <c r="D133" s="423"/>
      <c r="E133" s="350"/>
      <c r="F133" s="530"/>
      <c r="G133" s="386"/>
      <c r="H133" s="531"/>
      <c r="I133" s="386"/>
      <c r="J133" s="386"/>
      <c r="K133" s="386"/>
      <c r="L133" s="533"/>
      <c r="M133" s="386"/>
      <c r="N133" s="386"/>
      <c r="O133" s="386"/>
      <c r="P133" s="530">
        <f>ROUND(P132*F120/48,0)</f>
        <v>7</v>
      </c>
      <c r="Q133" s="470">
        <f>P133</f>
        <v>7</v>
      </c>
      <c r="R133" s="470"/>
      <c r="S133" s="470"/>
      <c r="T133" s="386"/>
      <c r="U133" s="386"/>
      <c r="V133" s="386"/>
      <c r="W133" s="530">
        <f>ROUND(W132*F120/48,0)</f>
        <v>7</v>
      </c>
      <c r="X133" s="470">
        <f>W133</f>
        <v>7</v>
      </c>
      <c r="Y133" s="341"/>
      <c r="Z133" s="350"/>
      <c r="AA133" s="350"/>
      <c r="AB133" s="398"/>
      <c r="AC133" s="473">
        <f>ROUND(E133+G133+I133+J133+K133+L133+M133+N133+O133+Q133+S133+T133+U133+V133+X133+Z133+AA133+AB133,0)</f>
        <v>14</v>
      </c>
      <c r="AD133" s="344">
        <f>AC133*B133</f>
        <v>140</v>
      </c>
    </row>
    <row r="134" spans="1:30" ht="15" customHeight="1" thickTop="1">
      <c r="A134" s="133"/>
      <c r="B134" s="213"/>
      <c r="C134" s="427" t="s">
        <v>72</v>
      </c>
      <c r="D134" s="293"/>
      <c r="E134" s="88"/>
      <c r="F134" s="430"/>
      <c r="G134" s="129"/>
      <c r="H134" s="108"/>
      <c r="I134" s="88"/>
      <c r="J134" s="88"/>
      <c r="K134" s="88"/>
      <c r="L134" s="88"/>
      <c r="M134" s="131"/>
      <c r="N134" s="131"/>
      <c r="O134" s="88"/>
      <c r="P134" s="177"/>
      <c r="Q134" s="129"/>
      <c r="R134" s="177"/>
      <c r="S134" s="129">
        <v>1</v>
      </c>
      <c r="T134" s="88"/>
      <c r="U134" s="88"/>
      <c r="V134" s="131"/>
      <c r="W134" s="497">
        <f>5/80*W121</f>
        <v>5</v>
      </c>
      <c r="X134" s="129">
        <f>W134/W121*X121</f>
        <v>5</v>
      </c>
      <c r="Y134" s="129"/>
      <c r="Z134" s="88"/>
      <c r="AA134" s="88"/>
      <c r="AB134" s="396"/>
      <c r="AC134" s="288"/>
      <c r="AD134" s="123"/>
    </row>
    <row r="135" spans="1:30" ht="16.5" thickBot="1">
      <c r="A135" s="346" t="str">
        <f>A40</f>
        <v>Мука пшен.</v>
      </c>
      <c r="B135" s="347">
        <f>B40</f>
        <v>29.08</v>
      </c>
      <c r="C135" s="348" t="s">
        <v>73</v>
      </c>
      <c r="D135" s="423"/>
      <c r="E135" s="350"/>
      <c r="F135" s="363"/>
      <c r="G135" s="350"/>
      <c r="H135" s="349"/>
      <c r="I135" s="350"/>
      <c r="J135" s="350"/>
      <c r="K135" s="350"/>
      <c r="L135" s="350"/>
      <c r="M135" s="341"/>
      <c r="N135" s="350"/>
      <c r="O135" s="350"/>
      <c r="P135" s="349"/>
      <c r="Q135" s="341"/>
      <c r="R135" s="349"/>
      <c r="S135" s="341">
        <f>S134*B120/1000</f>
        <v>0.1</v>
      </c>
      <c r="T135" s="350"/>
      <c r="U135" s="350"/>
      <c r="V135" s="350"/>
      <c r="W135" s="363">
        <f>W134*F120/1000</f>
        <v>0.5</v>
      </c>
      <c r="X135" s="341">
        <f>W135</f>
        <v>0.5</v>
      </c>
      <c r="Y135" s="341"/>
      <c r="Z135" s="350"/>
      <c r="AA135" s="350"/>
      <c r="AB135" s="397"/>
      <c r="AC135" s="399">
        <f>ROUND(E135+G135+I135+J135+K135+L135+M135+N135+O135+Q135+S135+T135+U135+V135+X135+Y135+Z135+AA135+AB135,2)</f>
        <v>0.6</v>
      </c>
      <c r="AD135" s="344">
        <f>AC135*B135</f>
        <v>17.447999999999997</v>
      </c>
    </row>
    <row r="136" spans="1:30" ht="15" customHeight="1" thickTop="1">
      <c r="A136" s="133"/>
      <c r="B136" s="213"/>
      <c r="C136" s="427" t="s">
        <v>72</v>
      </c>
      <c r="D136" s="453"/>
      <c r="E136" s="131"/>
      <c r="F136" s="430">
        <v>4</v>
      </c>
      <c r="G136" s="129">
        <f>F136/F121*G121</f>
        <v>4</v>
      </c>
      <c r="H136" s="108"/>
      <c r="I136" s="88"/>
      <c r="J136" s="88"/>
      <c r="K136" s="88"/>
      <c r="L136" s="88"/>
      <c r="M136" s="131"/>
      <c r="N136" s="131"/>
      <c r="O136" s="131">
        <f>O137/B120*1000</f>
        <v>5</v>
      </c>
      <c r="P136" s="108"/>
      <c r="Q136" s="129"/>
      <c r="R136" s="129"/>
      <c r="S136" s="129"/>
      <c r="T136" s="88"/>
      <c r="U136" s="88"/>
      <c r="V136" s="88"/>
      <c r="W136" s="497">
        <f>2.6/80*W121</f>
        <v>2.6</v>
      </c>
      <c r="X136" s="129">
        <f>W136/W121*X121</f>
        <v>2.6</v>
      </c>
      <c r="Y136" s="88"/>
      <c r="Z136" s="88"/>
      <c r="AA136" s="88"/>
      <c r="AB136" s="396"/>
      <c r="AC136" s="288"/>
      <c r="AD136" s="123"/>
    </row>
    <row r="137" spans="1:30" ht="16.5" thickBot="1">
      <c r="A137" s="346" t="str">
        <f>A42</f>
        <v>Сметана</v>
      </c>
      <c r="B137" s="347">
        <f>B42</f>
        <v>227</v>
      </c>
      <c r="C137" s="348" t="s">
        <v>73</v>
      </c>
      <c r="D137" s="452"/>
      <c r="E137" s="350"/>
      <c r="F137" s="363">
        <f>F136*F120/1000</f>
        <v>0.4</v>
      </c>
      <c r="G137" s="341">
        <f>ROUND(F137,2)</f>
        <v>0.4</v>
      </c>
      <c r="H137" s="349"/>
      <c r="I137" s="350"/>
      <c r="J137" s="350"/>
      <c r="K137" s="350"/>
      <c r="L137" s="350"/>
      <c r="M137" s="350"/>
      <c r="N137" s="350"/>
      <c r="O137" s="341">
        <v>0.5</v>
      </c>
      <c r="P137" s="349"/>
      <c r="Q137" s="341"/>
      <c r="R137" s="341"/>
      <c r="S137" s="341"/>
      <c r="T137" s="350"/>
      <c r="U137" s="350"/>
      <c r="V137" s="350"/>
      <c r="W137" s="363">
        <f>W136*F120/1000</f>
        <v>0.26</v>
      </c>
      <c r="X137" s="341">
        <f>W137</f>
        <v>0.26</v>
      </c>
      <c r="Y137" s="350"/>
      <c r="Z137" s="350"/>
      <c r="AA137" s="350"/>
      <c r="AB137" s="397"/>
      <c r="AC137" s="399">
        <f>ROUND(E137+G137+I137+J137+K137+L137+M137+N137+O137+Q137+S137+T137+U137+V137+X137+Z137+AA137+AB137,2)</f>
        <v>1.1599999999999999</v>
      </c>
      <c r="AD137" s="344">
        <f>AC137*B137</f>
        <v>263.32</v>
      </c>
    </row>
    <row r="138" spans="1:30" ht="15" customHeight="1" thickTop="1">
      <c r="A138" s="133"/>
      <c r="B138" s="213"/>
      <c r="C138" s="427" t="s">
        <v>72</v>
      </c>
      <c r="D138" s="293"/>
      <c r="E138" s="88"/>
      <c r="F138" s="430">
        <v>32</v>
      </c>
      <c r="G138" s="129">
        <f>F138/F121*G121</f>
        <v>32</v>
      </c>
      <c r="H138" s="108"/>
      <c r="I138" s="88"/>
      <c r="J138" s="88"/>
      <c r="K138" s="88"/>
      <c r="L138" s="88"/>
      <c r="M138" s="88"/>
      <c r="N138" s="88"/>
      <c r="O138" s="88"/>
      <c r="P138" s="177"/>
      <c r="Q138" s="129"/>
      <c r="R138" s="88"/>
      <c r="S138" s="88"/>
      <c r="T138" s="88"/>
      <c r="U138" s="88"/>
      <c r="V138" s="88"/>
      <c r="W138" s="263"/>
      <c r="X138" s="88"/>
      <c r="Y138" s="88"/>
      <c r="Z138" s="88"/>
      <c r="AA138" s="88"/>
      <c r="AB138" s="396"/>
      <c r="AC138" s="288"/>
      <c r="AD138" s="123"/>
    </row>
    <row r="139" spans="1:30" ht="16.5" thickBot="1">
      <c r="A139" s="346" t="str">
        <f>A44</f>
        <v>Пшено</v>
      </c>
      <c r="B139" s="347">
        <f>B44</f>
        <v>40.08</v>
      </c>
      <c r="C139" s="348" t="s">
        <v>73</v>
      </c>
      <c r="D139" s="423"/>
      <c r="E139" s="350"/>
      <c r="F139" s="363">
        <f>F138*F120/1000</f>
        <v>3.2</v>
      </c>
      <c r="G139" s="341">
        <f>F139</f>
        <v>3.2</v>
      </c>
      <c r="H139" s="349"/>
      <c r="I139" s="350"/>
      <c r="J139" s="350"/>
      <c r="K139" s="350"/>
      <c r="L139" s="350"/>
      <c r="M139" s="350"/>
      <c r="N139" s="350"/>
      <c r="O139" s="350"/>
      <c r="P139" s="349"/>
      <c r="Q139" s="350"/>
      <c r="R139" s="350"/>
      <c r="S139" s="350"/>
      <c r="T139" s="350"/>
      <c r="U139" s="350"/>
      <c r="V139" s="350"/>
      <c r="W139" s="360"/>
      <c r="X139" s="350"/>
      <c r="Y139" s="350"/>
      <c r="Z139" s="350"/>
      <c r="AA139" s="350"/>
      <c r="AB139" s="397"/>
      <c r="AC139" s="399">
        <f>ROUND(E139+G139+I139+J139+K139+L139+M139+N139+O139+Q139+S139+T139+U139+V139+X139+Z139+AA139+AB139,2)</f>
        <v>3.2</v>
      </c>
      <c r="AD139" s="344">
        <f>AC139*B139</f>
        <v>128.256</v>
      </c>
    </row>
    <row r="140" spans="1:30" ht="15" customHeight="1" thickTop="1">
      <c r="A140" s="133"/>
      <c r="B140" s="215"/>
      <c r="C140" s="77" t="s">
        <v>72</v>
      </c>
      <c r="D140" s="293"/>
      <c r="E140" s="88"/>
      <c r="F140" s="430">
        <v>3</v>
      </c>
      <c r="G140" s="129">
        <f>F140/F121*G121</f>
        <v>3</v>
      </c>
      <c r="H140" s="108">
        <v>6</v>
      </c>
      <c r="I140" s="129">
        <f>H140/H121*I121</f>
        <v>6</v>
      </c>
      <c r="J140" s="88"/>
      <c r="K140" s="88"/>
      <c r="L140" s="131"/>
      <c r="M140" s="131">
        <v>1.5</v>
      </c>
      <c r="N140" s="131">
        <v>1.1000000000000001</v>
      </c>
      <c r="O140" s="88"/>
      <c r="P140" s="108"/>
      <c r="Q140" s="88"/>
      <c r="R140" s="88"/>
      <c r="S140" s="131">
        <v>0.2</v>
      </c>
      <c r="T140" s="131">
        <v>8</v>
      </c>
      <c r="U140" s="88"/>
      <c r="V140" s="131"/>
      <c r="W140" s="497">
        <f>6/80*W121</f>
        <v>6</v>
      </c>
      <c r="X140" s="129">
        <f>W140/W121*X121</f>
        <v>6</v>
      </c>
      <c r="Y140" s="129"/>
      <c r="Z140" s="131"/>
      <c r="AA140" s="88"/>
      <c r="AB140" s="396"/>
      <c r="AC140" s="288"/>
      <c r="AD140" s="123"/>
    </row>
    <row r="141" spans="1:30" ht="16.5" thickBot="1">
      <c r="A141" s="346" t="str">
        <f>A46</f>
        <v>Сахар</v>
      </c>
      <c r="B141" s="347">
        <f>B46</f>
        <v>62.77</v>
      </c>
      <c r="C141" s="348" t="s">
        <v>73</v>
      </c>
      <c r="D141" s="423"/>
      <c r="E141" s="350"/>
      <c r="F141" s="363">
        <f>F140*F120/1000</f>
        <v>0.3</v>
      </c>
      <c r="G141" s="341">
        <f>F141</f>
        <v>0.3</v>
      </c>
      <c r="H141" s="349">
        <f>H140*H120/1000</f>
        <v>0.6</v>
      </c>
      <c r="I141" s="341">
        <f>H141</f>
        <v>0.6</v>
      </c>
      <c r="J141" s="350"/>
      <c r="K141" s="350"/>
      <c r="L141" s="350"/>
      <c r="M141" s="341">
        <f>M140*B134/1000</f>
        <v>0</v>
      </c>
      <c r="N141" s="341">
        <f>ROUND(N140*B120/1000,2)</f>
        <v>0.11</v>
      </c>
      <c r="O141" s="350"/>
      <c r="P141" s="349"/>
      <c r="Q141" s="350"/>
      <c r="R141" s="350"/>
      <c r="S141" s="341">
        <f>S140*B120/1000</f>
        <v>0.02</v>
      </c>
      <c r="T141" s="341">
        <f>ROUND(T140*B120/1000,2)</f>
        <v>0.8</v>
      </c>
      <c r="U141" s="350"/>
      <c r="V141" s="350"/>
      <c r="W141" s="363">
        <f>W140*F120/1000</f>
        <v>0.6</v>
      </c>
      <c r="X141" s="341">
        <f>W141</f>
        <v>0.6</v>
      </c>
      <c r="Y141" s="341">
        <f>Y140*B120/1000</f>
        <v>0</v>
      </c>
      <c r="Z141" s="350"/>
      <c r="AA141" s="350"/>
      <c r="AB141" s="397"/>
      <c r="AC141" s="399">
        <f>ROUND(E141+G141+I141+J141+K141+L141+M141+N141+O141+Q141+S141+T141+U141+V141+X141+Y141+Z141+AA141,2)</f>
        <v>2.4300000000000002</v>
      </c>
      <c r="AD141" s="344">
        <f>AC141*B141</f>
        <v>152.53110000000001</v>
      </c>
    </row>
    <row r="142" spans="1:30" ht="15" customHeight="1" thickTop="1">
      <c r="A142" s="133"/>
      <c r="B142" s="213"/>
      <c r="C142" s="427" t="s">
        <v>72</v>
      </c>
      <c r="D142" s="293"/>
      <c r="E142" s="88"/>
      <c r="F142" s="90"/>
      <c r="G142" s="88"/>
      <c r="H142" s="108"/>
      <c r="I142" s="88"/>
      <c r="J142" s="88"/>
      <c r="K142" s="88"/>
      <c r="L142" s="88"/>
      <c r="M142" s="88"/>
      <c r="N142" s="88"/>
      <c r="O142" s="88"/>
      <c r="P142" s="108"/>
      <c r="Q142" s="88"/>
      <c r="R142" s="88"/>
      <c r="S142" s="88"/>
      <c r="T142" s="131">
        <v>10</v>
      </c>
      <c r="U142" s="88"/>
      <c r="V142" s="88"/>
      <c r="W142" s="263"/>
      <c r="X142" s="88"/>
      <c r="Y142" s="88"/>
      <c r="Z142" s="88"/>
      <c r="AA142" s="88"/>
      <c r="AB142" s="396"/>
      <c r="AC142" s="288"/>
      <c r="AD142" s="123"/>
    </row>
    <row r="143" spans="1:30" ht="16.5" thickBot="1">
      <c r="A143" s="346" t="str">
        <f>A48</f>
        <v>Сухофрукты</v>
      </c>
      <c r="B143" s="347">
        <f>B48</f>
        <v>170</v>
      </c>
      <c r="C143" s="348" t="s">
        <v>73</v>
      </c>
      <c r="D143" s="423"/>
      <c r="E143" s="350"/>
      <c r="F143" s="363"/>
      <c r="G143" s="350"/>
      <c r="H143" s="349"/>
      <c r="I143" s="350"/>
      <c r="J143" s="350"/>
      <c r="K143" s="350"/>
      <c r="L143" s="350"/>
      <c r="M143" s="350"/>
      <c r="N143" s="350"/>
      <c r="O143" s="350"/>
      <c r="P143" s="349"/>
      <c r="Q143" s="350"/>
      <c r="R143" s="350"/>
      <c r="S143" s="350"/>
      <c r="T143" s="341">
        <f>T142*B120/1000</f>
        <v>1</v>
      </c>
      <c r="U143" s="350"/>
      <c r="V143" s="350"/>
      <c r="W143" s="360"/>
      <c r="X143" s="350"/>
      <c r="Y143" s="350"/>
      <c r="Z143" s="350"/>
      <c r="AA143" s="350"/>
      <c r="AB143" s="397"/>
      <c r="AC143" s="399">
        <f>ROUND(E143+G143+I143+J143+K143+L143+M143+N143+O143+Q143+S143+T143+U143+V143+X143+Z143+AA143+AB143,2)</f>
        <v>1</v>
      </c>
      <c r="AD143" s="344">
        <f>AC143*B143</f>
        <v>170</v>
      </c>
    </row>
    <row r="144" spans="1:30" ht="15" customHeight="1" thickTop="1">
      <c r="A144" s="133"/>
      <c r="B144" s="213"/>
      <c r="C144" s="427" t="s">
        <v>72</v>
      </c>
      <c r="D144" s="293"/>
      <c r="E144" s="104"/>
      <c r="F144" s="108">
        <v>20</v>
      </c>
      <c r="G144" s="129">
        <f>F144/F121*G121</f>
        <v>20</v>
      </c>
      <c r="H144" s="108"/>
      <c r="I144" s="129"/>
      <c r="J144" s="104"/>
      <c r="K144" s="184"/>
      <c r="L144" s="184"/>
      <c r="M144" s="104"/>
      <c r="N144" s="104"/>
      <c r="O144" s="104"/>
      <c r="P144" s="108"/>
      <c r="Q144" s="104"/>
      <c r="R144" s="104"/>
      <c r="S144" s="104"/>
      <c r="T144" s="104"/>
      <c r="U144" s="104"/>
      <c r="V144" s="104"/>
      <c r="W144" s="265"/>
      <c r="X144" s="104"/>
      <c r="Y144" s="104"/>
      <c r="Z144" s="137"/>
      <c r="AA144" s="104"/>
      <c r="AB144" s="396"/>
      <c r="AC144" s="288"/>
      <c r="AD144" s="123"/>
    </row>
    <row r="145" spans="1:30" ht="16.5" thickBot="1">
      <c r="A145" s="346" t="str">
        <f>A50</f>
        <v>Яблоки св.</v>
      </c>
      <c r="B145" s="347">
        <f>B50</f>
        <v>100</v>
      </c>
      <c r="C145" s="348" t="s">
        <v>73</v>
      </c>
      <c r="D145" s="423"/>
      <c r="E145" s="350"/>
      <c r="F145" s="349">
        <f>F144*F120/1000</f>
        <v>2</v>
      </c>
      <c r="G145" s="341">
        <f>F145</f>
        <v>2</v>
      </c>
      <c r="H145" s="349"/>
      <c r="I145" s="341"/>
      <c r="J145" s="350"/>
      <c r="K145" s="341"/>
      <c r="L145" s="341"/>
      <c r="M145" s="350"/>
      <c r="N145" s="350"/>
      <c r="O145" s="350"/>
      <c r="P145" s="349"/>
      <c r="Q145" s="350"/>
      <c r="R145" s="350"/>
      <c r="S145" s="350"/>
      <c r="T145" s="350"/>
      <c r="U145" s="350"/>
      <c r="V145" s="350"/>
      <c r="W145" s="360"/>
      <c r="X145" s="350"/>
      <c r="Y145" s="350"/>
      <c r="Z145" s="341"/>
      <c r="AA145" s="350"/>
      <c r="AB145" s="397"/>
      <c r="AC145" s="399">
        <f>ROUND(E145+G145+I145+J145+K145+L145+M145+N145+O145+Q145+S145+T145+U145+V145+X145+Z145+AA145+AB145,2)</f>
        <v>2</v>
      </c>
      <c r="AD145" s="344">
        <f>AC145*B145</f>
        <v>200</v>
      </c>
    </row>
    <row r="146" spans="1:30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18" t="s">
        <v>71</v>
      </c>
    </row>
    <row r="147" spans="1:30">
      <c r="A147" s="26" t="s">
        <v>53</v>
      </c>
      <c r="B147" s="20"/>
      <c r="C147" s="65"/>
      <c r="D147" s="65"/>
      <c r="E147" s="14"/>
      <c r="F147" s="14"/>
      <c r="G147" s="14"/>
      <c r="H147" s="14"/>
      <c r="I147" s="14"/>
      <c r="J147" s="14"/>
      <c r="K147" s="14"/>
      <c r="L147" s="14"/>
      <c r="M147" s="14"/>
      <c r="N147" s="28" t="s">
        <v>41</v>
      </c>
      <c r="O147" s="14"/>
      <c r="P147" s="14"/>
      <c r="Q147" s="14"/>
      <c r="R147" s="14"/>
      <c r="S147" s="14"/>
      <c r="T147" s="28" t="s">
        <v>11</v>
      </c>
      <c r="U147" s="28"/>
      <c r="V147" s="14"/>
      <c r="W147" s="14"/>
      <c r="X147" s="14"/>
      <c r="Y147" s="14"/>
      <c r="Z147" s="14"/>
      <c r="AA147" s="22"/>
      <c r="AB147" s="14"/>
      <c r="AC147" s="1047" t="s">
        <v>8</v>
      </c>
      <c r="AD147" s="1048"/>
    </row>
    <row r="148" spans="1:30">
      <c r="A148" s="170"/>
      <c r="B148" s="19"/>
      <c r="C148" s="5" t="s">
        <v>52</v>
      </c>
      <c r="D148" s="482"/>
      <c r="E148" s="1052" t="str">
        <f>E114</f>
        <v>З А В Т Р А К</v>
      </c>
      <c r="F148" s="1052"/>
      <c r="G148" s="1052"/>
      <c r="H148" s="1052"/>
      <c r="I148" s="1052"/>
      <c r="J148" s="1053"/>
      <c r="K148" s="173" t="s">
        <v>69</v>
      </c>
      <c r="L148" s="615"/>
      <c r="M148" s="1056" t="s">
        <v>16</v>
      </c>
      <c r="N148" s="1052"/>
      <c r="O148" s="1052"/>
      <c r="P148" s="1052"/>
      <c r="Q148" s="1052"/>
      <c r="R148" s="1052"/>
      <c r="S148" s="1052"/>
      <c r="T148" s="1052"/>
      <c r="U148" s="1053"/>
      <c r="V148" s="1056" t="s">
        <v>17</v>
      </c>
      <c r="W148" s="1052"/>
      <c r="X148" s="1052"/>
      <c r="Y148" s="1052"/>
      <c r="Z148" s="1052"/>
      <c r="AA148" s="1052"/>
      <c r="AB148" s="1052"/>
      <c r="AC148" s="1058" t="s">
        <v>3</v>
      </c>
      <c r="AD148" s="1059"/>
    </row>
    <row r="149" spans="1:30">
      <c r="A149" s="172"/>
      <c r="B149" s="5"/>
      <c r="C149" s="5" t="s">
        <v>51</v>
      </c>
      <c r="D149" s="449"/>
      <c r="E149" s="1054"/>
      <c r="F149" s="1054"/>
      <c r="G149" s="1054"/>
      <c r="H149" s="1054"/>
      <c r="I149" s="1054"/>
      <c r="J149" s="1055"/>
      <c r="K149" s="174"/>
      <c r="L149" s="616"/>
      <c r="M149" s="1057"/>
      <c r="N149" s="1054"/>
      <c r="O149" s="1054"/>
      <c r="P149" s="1054"/>
      <c r="Q149" s="1054"/>
      <c r="R149" s="1054"/>
      <c r="S149" s="1054"/>
      <c r="T149" s="1054"/>
      <c r="U149" s="1055"/>
      <c r="V149" s="1057"/>
      <c r="W149" s="1054"/>
      <c r="X149" s="1054"/>
      <c r="Y149" s="1054"/>
      <c r="Z149" s="1054"/>
      <c r="AA149" s="1054"/>
      <c r="AB149" s="1054"/>
      <c r="AC149" s="1047" t="s">
        <v>36</v>
      </c>
      <c r="AD149" s="1048"/>
    </row>
    <row r="150" spans="1:30" ht="12.75" customHeight="1">
      <c r="A150" s="172" t="s">
        <v>54</v>
      </c>
      <c r="B150" s="5" t="s">
        <v>65</v>
      </c>
      <c r="C150" s="5" t="s">
        <v>9</v>
      </c>
      <c r="D150" s="1044" t="str">
        <f>D116</f>
        <v>Бутерб. с маслом сл.</v>
      </c>
      <c r="E150" s="1038" t="str">
        <f>E116</f>
        <v xml:space="preserve">  5. /20</v>
      </c>
      <c r="F150" s="1035" t="str">
        <f>F116</f>
        <v>Каша "Янтарная"</v>
      </c>
      <c r="G150" s="1038"/>
      <c r="H150" s="1041" t="str">
        <f>H116</f>
        <v>Чай с лимоном</v>
      </c>
      <c r="I150" s="1038"/>
      <c r="J150" s="1038" t="str">
        <f t="shared" ref="J150:P150" si="7">J116</f>
        <v>Батон витамин.</v>
      </c>
      <c r="K150" s="1041">
        <f t="shared" si="7"/>
        <v>0</v>
      </c>
      <c r="L150" s="1044" t="str">
        <f t="shared" si="7"/>
        <v>Фрукты порц.</v>
      </c>
      <c r="M150" s="1044" t="str">
        <f t="shared" si="7"/>
        <v>Сал из св. капусты</v>
      </c>
      <c r="N150" s="1035" t="str">
        <f t="shared" si="7"/>
        <v xml:space="preserve">Свекольник </v>
      </c>
      <c r="O150" s="1038" t="str">
        <f t="shared" si="7"/>
        <v>со сметаной</v>
      </c>
      <c r="P150" s="1035" t="str">
        <f t="shared" si="7"/>
        <v>Котлеты рыбные</v>
      </c>
      <c r="Q150" s="1038"/>
      <c r="R150" s="1035" t="str">
        <f>R116</f>
        <v>Картофель туш.</v>
      </c>
      <c r="S150" s="1096"/>
      <c r="T150" s="1041" t="str">
        <f>T116</f>
        <v>Компот из сухофруктов</v>
      </c>
      <c r="U150" s="1044" t="s">
        <v>68</v>
      </c>
      <c r="V150" s="1044">
        <f>V116</f>
        <v>0</v>
      </c>
      <c r="W150" s="1044" t="str">
        <f>W116</f>
        <v>Сырники из творога</v>
      </c>
      <c r="X150" s="1044"/>
      <c r="Y150" s="1044">
        <f>Y118</f>
        <v>0</v>
      </c>
      <c r="Z150" s="1044" t="str">
        <f>Z116</f>
        <v>Молоко кипяченое</v>
      </c>
      <c r="AA150" s="1038" t="str">
        <f>AA116</f>
        <v>Хлеб йодирован. пшен.</v>
      </c>
      <c r="AB150" s="1214">
        <f>AB116</f>
        <v>0</v>
      </c>
      <c r="AC150" s="24"/>
      <c r="AD150" s="23"/>
    </row>
    <row r="151" spans="1:30">
      <c r="A151" s="172"/>
      <c r="B151" s="5"/>
      <c r="C151" s="5" t="s">
        <v>10</v>
      </c>
      <c r="D151" s="1045"/>
      <c r="E151" s="1039"/>
      <c r="F151" s="1036"/>
      <c r="G151" s="1039"/>
      <c r="H151" s="1042"/>
      <c r="I151" s="1039"/>
      <c r="J151" s="1039"/>
      <c r="K151" s="1042"/>
      <c r="L151" s="1045"/>
      <c r="M151" s="1045"/>
      <c r="N151" s="1036"/>
      <c r="O151" s="1039"/>
      <c r="P151" s="1036"/>
      <c r="Q151" s="1039"/>
      <c r="R151" s="1121"/>
      <c r="S151" s="1098"/>
      <c r="T151" s="1042"/>
      <c r="U151" s="1045"/>
      <c r="V151" s="1045"/>
      <c r="W151" s="1045"/>
      <c r="X151" s="1194"/>
      <c r="Y151" s="1194"/>
      <c r="Z151" s="1045"/>
      <c r="AA151" s="1039"/>
      <c r="AB151" s="1215"/>
      <c r="AC151" s="19" t="s">
        <v>6</v>
      </c>
      <c r="AD151" s="171" t="s">
        <v>4</v>
      </c>
    </row>
    <row r="152" spans="1:30">
      <c r="A152" s="176"/>
      <c r="B152" s="4"/>
      <c r="C152" s="4"/>
      <c r="D152" s="1046"/>
      <c r="E152" s="1040"/>
      <c r="F152" s="1037"/>
      <c r="G152" s="1040"/>
      <c r="H152" s="1043"/>
      <c r="I152" s="1040"/>
      <c r="J152" s="1040"/>
      <c r="K152" s="1043"/>
      <c r="L152" s="1046"/>
      <c r="M152" s="1046"/>
      <c r="N152" s="1037"/>
      <c r="O152" s="1040"/>
      <c r="P152" s="1037"/>
      <c r="Q152" s="1040"/>
      <c r="R152" s="1122"/>
      <c r="S152" s="1100"/>
      <c r="T152" s="1043"/>
      <c r="U152" s="1046"/>
      <c r="V152" s="1046"/>
      <c r="W152" s="1046"/>
      <c r="X152" s="1195"/>
      <c r="Y152" s="1195"/>
      <c r="Z152" s="1046"/>
      <c r="AA152" s="1040"/>
      <c r="AB152" s="1216"/>
      <c r="AC152" s="4" t="s">
        <v>7</v>
      </c>
      <c r="AD152" s="175" t="s">
        <v>5</v>
      </c>
    </row>
    <row r="153" spans="1:30" ht="13.5" thickBot="1">
      <c r="A153" s="64">
        <v>1</v>
      </c>
      <c r="B153" s="931">
        <v>2</v>
      </c>
      <c r="C153" s="72">
        <v>3</v>
      </c>
      <c r="D153" s="925">
        <v>4</v>
      </c>
      <c r="E153" s="80">
        <v>5</v>
      </c>
      <c r="F153" s="86">
        <v>6</v>
      </c>
      <c r="G153" s="925">
        <v>7</v>
      </c>
      <c r="H153" s="87">
        <v>8</v>
      </c>
      <c r="I153" s="80">
        <v>9</v>
      </c>
      <c r="J153" s="95">
        <v>10</v>
      </c>
      <c r="K153" s="96">
        <v>11</v>
      </c>
      <c r="L153" s="96">
        <v>12</v>
      </c>
      <c r="M153" s="81">
        <v>13</v>
      </c>
      <c r="N153" s="82">
        <v>14</v>
      </c>
      <c r="O153" s="93">
        <v>15</v>
      </c>
      <c r="P153" s="97">
        <v>16</v>
      </c>
      <c r="Q153" s="93">
        <v>17</v>
      </c>
      <c r="R153" s="276">
        <v>18</v>
      </c>
      <c r="S153" s="93">
        <v>19</v>
      </c>
      <c r="T153" s="96">
        <v>20</v>
      </c>
      <c r="U153" s="98">
        <v>21</v>
      </c>
      <c r="V153" s="80">
        <v>22</v>
      </c>
      <c r="W153" s="262">
        <v>23</v>
      </c>
      <c r="X153" s="96">
        <v>24</v>
      </c>
      <c r="Y153" s="96">
        <v>25</v>
      </c>
      <c r="Z153" s="81">
        <v>26</v>
      </c>
      <c r="AA153" s="96">
        <v>27</v>
      </c>
      <c r="AB153" s="276">
        <v>23</v>
      </c>
      <c r="AC153" s="86">
        <v>28</v>
      </c>
      <c r="AD153" s="924">
        <v>29</v>
      </c>
    </row>
    <row r="154" spans="1:30" ht="15" customHeight="1" thickTop="1">
      <c r="A154" s="135"/>
      <c r="B154" s="13"/>
      <c r="C154" s="77" t="s">
        <v>72</v>
      </c>
      <c r="D154" s="294"/>
      <c r="E154" s="94"/>
      <c r="F154" s="109"/>
      <c r="G154" s="94"/>
      <c r="H154" s="109"/>
      <c r="I154" s="94"/>
      <c r="J154" s="94"/>
      <c r="K154" s="94"/>
      <c r="L154" s="130"/>
      <c r="M154" s="130"/>
      <c r="N154" s="130">
        <v>55.4</v>
      </c>
      <c r="O154" s="94"/>
      <c r="P154" s="109"/>
      <c r="Q154" s="94"/>
      <c r="R154" s="94"/>
      <c r="S154" s="130">
        <v>156</v>
      </c>
      <c r="T154" s="94"/>
      <c r="U154" s="94"/>
      <c r="V154" s="130"/>
      <c r="W154" s="266"/>
      <c r="X154" s="94"/>
      <c r="Y154" s="94"/>
      <c r="Z154" s="94"/>
      <c r="AA154" s="94"/>
      <c r="AB154" s="401"/>
      <c r="AC154" s="290"/>
      <c r="AD154" s="116"/>
    </row>
    <row r="155" spans="1:30" ht="16.5" thickBot="1">
      <c r="A155" s="346" t="str">
        <f>A60</f>
        <v>Картофель</v>
      </c>
      <c r="B155" s="347">
        <f>B60</f>
        <v>28</v>
      </c>
      <c r="C155" s="348" t="s">
        <v>73</v>
      </c>
      <c r="D155" s="348"/>
      <c r="E155" s="337"/>
      <c r="F155" s="338"/>
      <c r="G155" s="337"/>
      <c r="H155" s="338"/>
      <c r="I155" s="337"/>
      <c r="J155" s="337"/>
      <c r="K155" s="337"/>
      <c r="L155" s="342"/>
      <c r="M155" s="339"/>
      <c r="N155" s="339">
        <f>N154*B120/1000</f>
        <v>5.54</v>
      </c>
      <c r="O155" s="337"/>
      <c r="P155" s="338"/>
      <c r="Q155" s="337"/>
      <c r="R155" s="337"/>
      <c r="S155" s="341">
        <f>S154*B120/1000</f>
        <v>15.6</v>
      </c>
      <c r="T155" s="337"/>
      <c r="U155" s="337"/>
      <c r="V155" s="350"/>
      <c r="W155" s="345"/>
      <c r="X155" s="337"/>
      <c r="Y155" s="337"/>
      <c r="Z155" s="337"/>
      <c r="AA155" s="337"/>
      <c r="AB155" s="402"/>
      <c r="AC155" s="399">
        <f>ROUND(E155+G155+I155+J155+K155+L155+M155+N155+O155+Q155+S155+T155+U155+V155+X155+Z155+AA155+AB155,2)</f>
        <v>21.14</v>
      </c>
      <c r="AD155" s="344">
        <f>AC155*B155</f>
        <v>591.92000000000007</v>
      </c>
    </row>
    <row r="156" spans="1:30" ht="15" customHeight="1" thickTop="1">
      <c r="A156" s="133"/>
      <c r="B156" s="215"/>
      <c r="C156" s="77" t="s">
        <v>72</v>
      </c>
      <c r="D156" s="295"/>
      <c r="E156" s="106"/>
      <c r="F156" s="112"/>
      <c r="G156" s="106"/>
      <c r="H156" s="112"/>
      <c r="I156" s="106"/>
      <c r="J156" s="106"/>
      <c r="K156" s="106"/>
      <c r="L156" s="127"/>
      <c r="M156" s="131">
        <v>29.6</v>
      </c>
      <c r="N156" s="127"/>
      <c r="O156" s="106"/>
      <c r="P156" s="112"/>
      <c r="Q156" s="106"/>
      <c r="R156" s="106"/>
      <c r="S156" s="127"/>
      <c r="T156" s="106"/>
      <c r="U156" s="106"/>
      <c r="V156" s="127"/>
      <c r="W156" s="267"/>
      <c r="X156" s="106"/>
      <c r="Y156" s="106"/>
      <c r="Z156" s="106"/>
      <c r="AA156" s="106"/>
      <c r="AB156" s="403"/>
      <c r="AC156" s="291"/>
      <c r="AD156" s="123"/>
    </row>
    <row r="157" spans="1:30" ht="16.5" thickBot="1">
      <c r="A157" s="346" t="str">
        <f>A62</f>
        <v>Капуста свеж.</v>
      </c>
      <c r="B157" s="347">
        <f>B62</f>
        <v>30</v>
      </c>
      <c r="C157" s="348" t="s">
        <v>73</v>
      </c>
      <c r="D157" s="348"/>
      <c r="E157" s="337"/>
      <c r="F157" s="338"/>
      <c r="G157" s="337"/>
      <c r="H157" s="338"/>
      <c r="I157" s="337"/>
      <c r="J157" s="337"/>
      <c r="K157" s="337"/>
      <c r="L157" s="358"/>
      <c r="M157" s="341">
        <f>M156*B120/1000</f>
        <v>2.96</v>
      </c>
      <c r="N157" s="340"/>
      <c r="O157" s="337"/>
      <c r="P157" s="338"/>
      <c r="Q157" s="337"/>
      <c r="R157" s="337"/>
      <c r="S157" s="341"/>
      <c r="T157" s="337"/>
      <c r="U157" s="337"/>
      <c r="V157" s="350"/>
      <c r="W157" s="345"/>
      <c r="X157" s="337"/>
      <c r="Y157" s="337"/>
      <c r="Z157" s="337"/>
      <c r="AA157" s="337"/>
      <c r="AB157" s="402"/>
      <c r="AC157" s="399">
        <f>ROUND(E157+G157+I157+J157+K157+L157+M157+N157+O157+Q157+S157+T157+U157+V157+X157+Z157+AA157+AB157,2)</f>
        <v>2.96</v>
      </c>
      <c r="AD157" s="344">
        <f>AC157*B157</f>
        <v>88.8</v>
      </c>
    </row>
    <row r="158" spans="1:30" ht="15" customHeight="1" thickTop="1">
      <c r="A158" s="133"/>
      <c r="B158" s="215"/>
      <c r="C158" s="77" t="s">
        <v>72</v>
      </c>
      <c r="D158" s="295"/>
      <c r="E158" s="106"/>
      <c r="F158" s="112"/>
      <c r="G158" s="106"/>
      <c r="H158" s="112"/>
      <c r="I158" s="106"/>
      <c r="J158" s="106"/>
      <c r="K158" s="106"/>
      <c r="L158" s="106"/>
      <c r="M158" s="127"/>
      <c r="N158" s="127">
        <v>8.6</v>
      </c>
      <c r="O158" s="127"/>
      <c r="P158" s="253">
        <f>7/60*P121</f>
        <v>7</v>
      </c>
      <c r="Q158" s="184">
        <f>P158/P121*Q121</f>
        <v>7</v>
      </c>
      <c r="R158" s="184"/>
      <c r="S158" s="184">
        <v>7.6</v>
      </c>
      <c r="T158" s="127"/>
      <c r="U158" s="127"/>
      <c r="V158" s="250"/>
      <c r="W158" s="267"/>
      <c r="X158" s="106"/>
      <c r="Y158" s="106"/>
      <c r="Z158" s="106"/>
      <c r="AA158" s="106"/>
      <c r="AB158" s="403"/>
      <c r="AC158" s="291"/>
      <c r="AD158" s="124"/>
    </row>
    <row r="159" spans="1:30" ht="16.5" thickBot="1">
      <c r="A159" s="346" t="str">
        <f>A64</f>
        <v>Лук</v>
      </c>
      <c r="B159" s="347">
        <f>B64</f>
        <v>37</v>
      </c>
      <c r="C159" s="348" t="s">
        <v>73</v>
      </c>
      <c r="D159" s="348"/>
      <c r="E159" s="337"/>
      <c r="F159" s="338"/>
      <c r="G159" s="337"/>
      <c r="H159" s="338"/>
      <c r="I159" s="337"/>
      <c r="J159" s="337"/>
      <c r="K159" s="337"/>
      <c r="L159" s="337"/>
      <c r="M159" s="339"/>
      <c r="N159" s="339">
        <f>N158*B120/1000</f>
        <v>0.86</v>
      </c>
      <c r="O159" s="337"/>
      <c r="P159" s="349">
        <f>P158*P120/1000</f>
        <v>0.7</v>
      </c>
      <c r="Q159" s="339">
        <f>P159</f>
        <v>0.7</v>
      </c>
      <c r="R159" s="339"/>
      <c r="S159" s="341">
        <f>S158*B120/1000</f>
        <v>0.76</v>
      </c>
      <c r="T159" s="337"/>
      <c r="U159" s="337"/>
      <c r="V159" s="350"/>
      <c r="W159" s="345"/>
      <c r="X159" s="337"/>
      <c r="Y159" s="337"/>
      <c r="Z159" s="337"/>
      <c r="AA159" s="337"/>
      <c r="AB159" s="402"/>
      <c r="AC159" s="399">
        <f>ROUND(E159+G159+I159+J159+K159+L159+M159+N159+O159+Q159+S159+T159+U159+V159+X159+Z159+AA159+AB159,2)</f>
        <v>2.3199999999999998</v>
      </c>
      <c r="AD159" s="351">
        <f>AC159*B159</f>
        <v>85.839999999999989</v>
      </c>
    </row>
    <row r="160" spans="1:30" ht="15" customHeight="1" thickTop="1">
      <c r="A160" s="133"/>
      <c r="B160" s="213"/>
      <c r="C160" s="427" t="s">
        <v>72</v>
      </c>
      <c r="D160" s="295"/>
      <c r="E160" s="106"/>
      <c r="F160" s="112"/>
      <c r="G160" s="106"/>
      <c r="H160" s="112"/>
      <c r="I160" s="106"/>
      <c r="J160" s="106"/>
      <c r="K160" s="106"/>
      <c r="L160" s="127"/>
      <c r="M160" s="131">
        <v>4</v>
      </c>
      <c r="N160" s="127">
        <v>12</v>
      </c>
      <c r="O160" s="127"/>
      <c r="P160" s="177">
        <f>20.2/60*P121</f>
        <v>20.2</v>
      </c>
      <c r="Q160" s="129">
        <f>P160/P121*Q121</f>
        <v>20.2</v>
      </c>
      <c r="R160" s="184"/>
      <c r="S160" s="184">
        <v>9.1999999999999993</v>
      </c>
      <c r="T160" s="127"/>
      <c r="U160" s="127"/>
      <c r="V160" s="127"/>
      <c r="W160" s="267"/>
      <c r="X160" s="106"/>
      <c r="Y160" s="106"/>
      <c r="Z160" s="106"/>
      <c r="AA160" s="106"/>
      <c r="AB160" s="403"/>
      <c r="AC160" s="291"/>
      <c r="AD160" s="123"/>
    </row>
    <row r="161" spans="1:30" ht="16.5" thickBot="1">
      <c r="A161" s="346" t="str">
        <f>A66</f>
        <v>Морковь</v>
      </c>
      <c r="B161" s="347">
        <f>B66</f>
        <v>38</v>
      </c>
      <c r="C161" s="348" t="s">
        <v>73</v>
      </c>
      <c r="D161" s="348"/>
      <c r="E161" s="337"/>
      <c r="F161" s="338"/>
      <c r="G161" s="337"/>
      <c r="H161" s="338"/>
      <c r="I161" s="337"/>
      <c r="J161" s="337"/>
      <c r="K161" s="337"/>
      <c r="L161" s="342"/>
      <c r="M161" s="341">
        <f>M160*B120/1000</f>
        <v>0.4</v>
      </c>
      <c r="N161" s="339">
        <f>N160*B120/1000</f>
        <v>1.2</v>
      </c>
      <c r="O161" s="337"/>
      <c r="P161" s="349">
        <f>P160*P120/1000</f>
        <v>2.02</v>
      </c>
      <c r="Q161" s="341">
        <f>P161</f>
        <v>2.02</v>
      </c>
      <c r="R161" s="339"/>
      <c r="S161" s="341">
        <f>S160*B120/1000</f>
        <v>0.91999999999999993</v>
      </c>
      <c r="T161" s="337"/>
      <c r="U161" s="337"/>
      <c r="V161" s="350"/>
      <c r="W161" s="345"/>
      <c r="X161" s="337"/>
      <c r="Y161" s="337"/>
      <c r="Z161" s="337"/>
      <c r="AA161" s="337"/>
      <c r="AB161" s="402"/>
      <c r="AC161" s="399">
        <f>ROUND(E161+G161+I161+J161+K161+L161+M161+N161+O161+Q161+S161+T161+U161+V161+X161+Z161+AA161+AB161,2)</f>
        <v>4.54</v>
      </c>
      <c r="AD161" s="344">
        <f>AC161*B161</f>
        <v>172.52</v>
      </c>
    </row>
    <row r="162" spans="1:30" ht="15" customHeight="1" thickTop="1">
      <c r="A162" s="133"/>
      <c r="B162" s="215"/>
      <c r="C162" s="77" t="s">
        <v>72</v>
      </c>
      <c r="D162" s="295"/>
      <c r="E162" s="106"/>
      <c r="F162" s="112"/>
      <c r="G162" s="106"/>
      <c r="H162" s="112"/>
      <c r="I162" s="106"/>
      <c r="J162" s="106"/>
      <c r="K162" s="106"/>
      <c r="L162" s="128"/>
      <c r="M162" s="128"/>
      <c r="N162" s="127">
        <v>39</v>
      </c>
      <c r="O162" s="106"/>
      <c r="P162" s="112"/>
      <c r="Q162" s="106"/>
      <c r="R162" s="106"/>
      <c r="S162" s="106"/>
      <c r="T162" s="106"/>
      <c r="U162" s="106"/>
      <c r="V162" s="127"/>
      <c r="W162" s="267"/>
      <c r="X162" s="106"/>
      <c r="Y162" s="106"/>
      <c r="Z162" s="106"/>
      <c r="AA162" s="106"/>
      <c r="AB162" s="403"/>
      <c r="AC162" s="291"/>
      <c r="AD162" s="123"/>
    </row>
    <row r="163" spans="1:30" ht="16.5" thickBot="1">
      <c r="A163" s="346" t="str">
        <f>A68</f>
        <v>Свекла стол.</v>
      </c>
      <c r="B163" s="347">
        <f>B68</f>
        <v>28</v>
      </c>
      <c r="C163" s="348" t="s">
        <v>73</v>
      </c>
      <c r="D163" s="348"/>
      <c r="E163" s="337"/>
      <c r="F163" s="338"/>
      <c r="G163" s="337"/>
      <c r="H163" s="338"/>
      <c r="I163" s="337"/>
      <c r="J163" s="337"/>
      <c r="K163" s="337"/>
      <c r="L163" s="340"/>
      <c r="M163" s="342"/>
      <c r="N163" s="339">
        <f>N162*B120/1000</f>
        <v>3.9</v>
      </c>
      <c r="O163" s="337"/>
      <c r="P163" s="338"/>
      <c r="Q163" s="337"/>
      <c r="R163" s="337"/>
      <c r="S163" s="337"/>
      <c r="T163" s="337"/>
      <c r="U163" s="337"/>
      <c r="V163" s="340"/>
      <c r="W163" s="345"/>
      <c r="X163" s="337"/>
      <c r="Y163" s="337"/>
      <c r="Z163" s="337"/>
      <c r="AA163" s="337"/>
      <c r="AB163" s="402"/>
      <c r="AC163" s="399">
        <f>ROUND(E163+G163+I163+J163+K163+L163+M163+N163+O163+Q163+S163+T163+U163+V163+X163+Z163+AA163+AB163,2)</f>
        <v>3.9</v>
      </c>
      <c r="AD163" s="344">
        <f>AC163*B163</f>
        <v>109.2</v>
      </c>
    </row>
    <row r="164" spans="1:30" ht="15" customHeight="1" thickTop="1">
      <c r="A164" s="133"/>
      <c r="B164" s="215"/>
      <c r="C164" s="77" t="s">
        <v>72</v>
      </c>
      <c r="D164" s="454">
        <v>20</v>
      </c>
      <c r="E164" s="128">
        <f>D164/D121*E121</f>
        <v>20</v>
      </c>
      <c r="F164" s="112"/>
      <c r="G164" s="106"/>
      <c r="H164" s="112"/>
      <c r="I164" s="106"/>
      <c r="J164" s="128">
        <f>J165/B120*1000</f>
        <v>20</v>
      </c>
      <c r="K164" s="106"/>
      <c r="L164" s="106"/>
      <c r="M164" s="106"/>
      <c r="N164" s="106"/>
      <c r="O164" s="106"/>
      <c r="P164" s="177">
        <f>5/60*P121</f>
        <v>5</v>
      </c>
      <c r="Q164" s="129">
        <f>P164/P121*Q121</f>
        <v>5</v>
      </c>
      <c r="R164" s="128"/>
      <c r="S164" s="128"/>
      <c r="T164" s="106"/>
      <c r="U164" s="106"/>
      <c r="V164" s="106"/>
      <c r="W164" s="267"/>
      <c r="X164" s="106"/>
      <c r="Y164" s="106"/>
      <c r="Z164" s="106"/>
      <c r="AA164" s="128"/>
      <c r="AB164" s="403"/>
      <c r="AC164" s="291"/>
      <c r="AD164" s="123"/>
    </row>
    <row r="165" spans="1:30" ht="16.5" thickBot="1">
      <c r="A165" s="346" t="str">
        <f>A70</f>
        <v>Батон витам.</v>
      </c>
      <c r="B165" s="347">
        <f>B70</f>
        <v>81.099999999999994</v>
      </c>
      <c r="C165" s="348" t="s">
        <v>73</v>
      </c>
      <c r="D165" s="424">
        <f>D164*F120/1000</f>
        <v>2</v>
      </c>
      <c r="E165" s="339">
        <f>D165</f>
        <v>2</v>
      </c>
      <c r="F165" s="338"/>
      <c r="G165" s="337"/>
      <c r="H165" s="338"/>
      <c r="I165" s="337"/>
      <c r="J165" s="339">
        <v>2</v>
      </c>
      <c r="K165" s="337"/>
      <c r="L165" s="337"/>
      <c r="M165" s="337"/>
      <c r="N165" s="337"/>
      <c r="O165" s="337"/>
      <c r="P165" s="349">
        <f>P164*P120/1000</f>
        <v>0.5</v>
      </c>
      <c r="Q165" s="341">
        <f>P165</f>
        <v>0.5</v>
      </c>
      <c r="R165" s="340"/>
      <c r="S165" s="340"/>
      <c r="T165" s="337"/>
      <c r="U165" s="337"/>
      <c r="V165" s="337"/>
      <c r="W165" s="345"/>
      <c r="X165" s="337"/>
      <c r="Y165" s="337"/>
      <c r="Z165" s="337"/>
      <c r="AA165" s="381"/>
      <c r="AB165" s="402"/>
      <c r="AC165" s="399">
        <f>ROUND(E165+G165+I165+J165+K165+L165+M165+N165+O165+Q165+S165+T165+U165+V165+X165+Z165+AA165+AB165,2)</f>
        <v>4.5</v>
      </c>
      <c r="AD165" s="344">
        <f>AC165*B165</f>
        <v>364.95</v>
      </c>
    </row>
    <row r="166" spans="1:30" ht="15" customHeight="1" thickTop="1">
      <c r="A166" s="133"/>
      <c r="B166" s="213"/>
      <c r="C166" s="427" t="s">
        <v>72</v>
      </c>
      <c r="D166" s="295"/>
      <c r="E166" s="106"/>
      <c r="F166" s="112"/>
      <c r="G166" s="106"/>
      <c r="H166" s="112"/>
      <c r="I166" s="106"/>
      <c r="J166" s="106"/>
      <c r="K166" s="106"/>
      <c r="L166" s="106"/>
      <c r="M166" s="106"/>
      <c r="N166" s="106"/>
      <c r="O166" s="106"/>
      <c r="P166" s="112"/>
      <c r="Q166" s="106"/>
      <c r="R166" s="106"/>
      <c r="S166" s="106"/>
      <c r="T166" s="106"/>
      <c r="U166" s="128">
        <f>U167/U120*1000</f>
        <v>30</v>
      </c>
      <c r="V166" s="106"/>
      <c r="W166" s="267"/>
      <c r="X166" s="106"/>
      <c r="Y166" s="106"/>
      <c r="Z166" s="106"/>
      <c r="AA166" s="106"/>
      <c r="AB166" s="403"/>
      <c r="AC166" s="291"/>
      <c r="AD166" s="123"/>
    </row>
    <row r="167" spans="1:30" ht="16.5" thickBot="1">
      <c r="A167" s="346" t="str">
        <f>A72</f>
        <v>Хлеб рж-пшен.</v>
      </c>
      <c r="B167" s="347">
        <f>B72</f>
        <v>55</v>
      </c>
      <c r="C167" s="348" t="s">
        <v>73</v>
      </c>
      <c r="D167" s="348"/>
      <c r="E167" s="337"/>
      <c r="F167" s="338"/>
      <c r="G167" s="337"/>
      <c r="H167" s="338"/>
      <c r="I167" s="337"/>
      <c r="J167" s="337"/>
      <c r="K167" s="337"/>
      <c r="L167" s="337"/>
      <c r="M167" s="337"/>
      <c r="N167" s="337"/>
      <c r="O167" s="337"/>
      <c r="P167" s="338"/>
      <c r="Q167" s="337"/>
      <c r="R167" s="337"/>
      <c r="S167" s="337"/>
      <c r="T167" s="337"/>
      <c r="U167" s="342">
        <v>3</v>
      </c>
      <c r="V167" s="337"/>
      <c r="W167" s="345"/>
      <c r="X167" s="337"/>
      <c r="Y167" s="337"/>
      <c r="Z167" s="337"/>
      <c r="AA167" s="337"/>
      <c r="AB167" s="402"/>
      <c r="AC167" s="399">
        <f>ROUND(E167+G167+I167+J167+K167+L167+M167+N167+O167+Q167+S167+T167+U167+V167+X167+Z167+AA167+AB167,2)</f>
        <v>3</v>
      </c>
      <c r="AD167" s="344">
        <f>AC167*B167</f>
        <v>165</v>
      </c>
    </row>
    <row r="168" spans="1:30" ht="15" customHeight="1" thickTop="1">
      <c r="A168" s="133"/>
      <c r="B168" s="213"/>
      <c r="C168" s="427" t="s">
        <v>72</v>
      </c>
      <c r="D168" s="295"/>
      <c r="E168" s="106"/>
      <c r="F168" s="112"/>
      <c r="G168" s="106"/>
      <c r="H168" s="112"/>
      <c r="I168" s="106"/>
      <c r="J168" s="106"/>
      <c r="K168" s="106"/>
      <c r="L168" s="106"/>
      <c r="M168" s="106"/>
      <c r="N168" s="106"/>
      <c r="O168" s="106"/>
      <c r="P168" s="112"/>
      <c r="Q168" s="106"/>
      <c r="R168" s="106"/>
      <c r="S168" s="106"/>
      <c r="T168" s="106"/>
      <c r="U168" s="106"/>
      <c r="V168" s="106"/>
      <c r="W168" s="267"/>
      <c r="X168" s="106"/>
      <c r="Y168" s="106"/>
      <c r="Z168" s="106"/>
      <c r="AA168" s="128">
        <f>AA169/AA120*1000</f>
        <v>10</v>
      </c>
      <c r="AB168" s="403"/>
      <c r="AC168" s="291"/>
      <c r="AD168" s="123"/>
    </row>
    <row r="169" spans="1:30" ht="16.5" thickBot="1">
      <c r="A169" s="346" t="str">
        <f>A74</f>
        <v xml:space="preserve">Хлеб  йод. пш. </v>
      </c>
      <c r="B169" s="347">
        <f>B74</f>
        <v>61.3</v>
      </c>
      <c r="C169" s="348" t="s">
        <v>73</v>
      </c>
      <c r="D169" s="348"/>
      <c r="E169" s="337"/>
      <c r="F169" s="338"/>
      <c r="G169" s="337"/>
      <c r="H169" s="338"/>
      <c r="I169" s="337"/>
      <c r="J169" s="337"/>
      <c r="K169" s="337"/>
      <c r="L169" s="337"/>
      <c r="M169" s="337"/>
      <c r="N169" s="337"/>
      <c r="O169" s="337"/>
      <c r="P169" s="338"/>
      <c r="Q169" s="337"/>
      <c r="R169" s="337"/>
      <c r="S169" s="337"/>
      <c r="T169" s="337"/>
      <c r="U169" s="337"/>
      <c r="V169" s="337"/>
      <c r="W169" s="345"/>
      <c r="X169" s="337"/>
      <c r="Y169" s="337"/>
      <c r="Z169" s="337"/>
      <c r="AA169" s="342">
        <v>1</v>
      </c>
      <c r="AB169" s="402"/>
      <c r="AC169" s="399">
        <f>ROUND(E169+G169+I169+J169+K169+L169+M169+N169+O169+Q169+S169+T169+U169+V169+X169+Z169+AA169+AB169,2)</f>
        <v>1</v>
      </c>
      <c r="AD169" s="344">
        <f>AC169*B169</f>
        <v>61.3</v>
      </c>
    </row>
    <row r="170" spans="1:30" ht="15" customHeight="1" thickTop="1">
      <c r="A170" s="133"/>
      <c r="B170" s="213"/>
      <c r="C170" s="427" t="s">
        <v>72</v>
      </c>
      <c r="D170" s="295"/>
      <c r="E170" s="106"/>
      <c r="F170" s="430"/>
      <c r="G170" s="129"/>
      <c r="H170" s="108">
        <v>4</v>
      </c>
      <c r="I170" s="129">
        <f>H170/H121*I121</f>
        <v>4</v>
      </c>
      <c r="J170" s="106"/>
      <c r="K170" s="106"/>
      <c r="L170" s="106"/>
      <c r="M170" s="127"/>
      <c r="N170" s="106"/>
      <c r="O170" s="106"/>
      <c r="P170" s="112"/>
      <c r="Q170" s="106"/>
      <c r="R170" s="106"/>
      <c r="S170" s="106"/>
      <c r="T170" s="106"/>
      <c r="U170" s="106"/>
      <c r="V170" s="127"/>
      <c r="W170" s="497"/>
      <c r="X170" s="129"/>
      <c r="Y170" s="127"/>
      <c r="Z170" s="127"/>
      <c r="AA170" s="106"/>
      <c r="AB170" s="403"/>
      <c r="AC170" s="291"/>
      <c r="AD170" s="123"/>
    </row>
    <row r="171" spans="1:30" ht="16.5" thickBot="1">
      <c r="A171" s="346" t="str">
        <f>A76</f>
        <v>Лимоны</v>
      </c>
      <c r="B171" s="347">
        <f>B76</f>
        <v>190</v>
      </c>
      <c r="C171" s="348" t="s">
        <v>73</v>
      </c>
      <c r="D171" s="348"/>
      <c r="E171" s="337"/>
      <c r="F171" s="363"/>
      <c r="G171" s="350"/>
      <c r="H171" s="349">
        <f>H170*H120/1000</f>
        <v>0.4</v>
      </c>
      <c r="I171" s="341">
        <f>H171</f>
        <v>0.4</v>
      </c>
      <c r="J171" s="337"/>
      <c r="K171" s="337"/>
      <c r="L171" s="337"/>
      <c r="M171" s="381"/>
      <c r="N171" s="337"/>
      <c r="O171" s="337"/>
      <c r="P171" s="338"/>
      <c r="Q171" s="337"/>
      <c r="R171" s="337"/>
      <c r="S171" s="337"/>
      <c r="T171" s="337"/>
      <c r="U171" s="337"/>
      <c r="V171" s="340"/>
      <c r="W171" s="363"/>
      <c r="X171" s="341"/>
      <c r="Y171" s="339"/>
      <c r="Z171" s="358"/>
      <c r="AA171" s="337"/>
      <c r="AB171" s="402"/>
      <c r="AC171" s="399">
        <f>ROUND(E171+G171+I171+J171+K171+L171+M171+N171+O171+Q171+S171+T171+U171+V171+X171+Z171+AA171+AB171,2)</f>
        <v>0.4</v>
      </c>
      <c r="AD171" s="344">
        <f>AC171*B171</f>
        <v>76</v>
      </c>
    </row>
    <row r="172" spans="1:30" ht="15" customHeight="1" thickTop="1">
      <c r="A172" s="133"/>
      <c r="B172" s="213"/>
      <c r="C172" s="427" t="s">
        <v>72</v>
      </c>
      <c r="D172" s="295"/>
      <c r="E172" s="106"/>
      <c r="F172" s="177"/>
      <c r="G172" s="106"/>
      <c r="H172" s="112">
        <v>0.3</v>
      </c>
      <c r="I172" s="128">
        <f>H172/H121*I121</f>
        <v>0.3</v>
      </c>
      <c r="J172" s="106"/>
      <c r="K172" s="106"/>
      <c r="L172" s="106"/>
      <c r="M172" s="106"/>
      <c r="N172" s="106"/>
      <c r="O172" s="106"/>
      <c r="P172" s="112"/>
      <c r="Q172" s="106"/>
      <c r="R172" s="106"/>
      <c r="S172" s="106"/>
      <c r="T172" s="106"/>
      <c r="U172" s="106"/>
      <c r="V172" s="106"/>
      <c r="W172" s="267"/>
      <c r="X172" s="106"/>
      <c r="Y172" s="106"/>
      <c r="Z172" s="127"/>
      <c r="AA172" s="106"/>
      <c r="AB172" s="403"/>
      <c r="AC172" s="291"/>
      <c r="AD172" s="123"/>
    </row>
    <row r="173" spans="1:30" ht="16.5" thickBot="1">
      <c r="A173" s="346" t="str">
        <f>A78</f>
        <v>Чай</v>
      </c>
      <c r="B173" s="347">
        <f>B78</f>
        <v>500</v>
      </c>
      <c r="C173" s="348" t="s">
        <v>73</v>
      </c>
      <c r="D173" s="348"/>
      <c r="E173" s="337"/>
      <c r="F173" s="349"/>
      <c r="G173" s="337"/>
      <c r="H173" s="338">
        <f>H172*H120/1000</f>
        <v>0.03</v>
      </c>
      <c r="I173" s="357">
        <f>H173</f>
        <v>0.03</v>
      </c>
      <c r="J173" s="337"/>
      <c r="K173" s="337"/>
      <c r="L173" s="337"/>
      <c r="M173" s="337"/>
      <c r="N173" s="337"/>
      <c r="O173" s="337"/>
      <c r="P173" s="338"/>
      <c r="Q173" s="337"/>
      <c r="R173" s="337"/>
      <c r="S173" s="337"/>
      <c r="T173" s="337"/>
      <c r="U173" s="337"/>
      <c r="V173" s="337"/>
      <c r="W173" s="345"/>
      <c r="X173" s="337"/>
      <c r="Y173" s="337"/>
      <c r="Z173" s="355"/>
      <c r="AA173" s="337"/>
      <c r="AB173" s="402"/>
      <c r="AC173" s="400">
        <f>ROUND(E173+G173+I173+J173+K173+L173+M173+N173+O173+Q173+S173+T173+U173+V173+X173+Z173+AA173+AB173,3)</f>
        <v>0.03</v>
      </c>
      <c r="AD173" s="344">
        <f>AC173*B173</f>
        <v>15</v>
      </c>
    </row>
    <row r="174" spans="1:30" ht="15" customHeight="1" thickTop="1">
      <c r="A174" s="133"/>
      <c r="B174" s="213"/>
      <c r="C174" s="427" t="s">
        <v>72</v>
      </c>
      <c r="D174" s="295"/>
      <c r="E174" s="106"/>
      <c r="F174" s="177"/>
      <c r="G174" s="106"/>
      <c r="H174" s="112"/>
      <c r="I174" s="106"/>
      <c r="J174" s="106"/>
      <c r="K174" s="106"/>
      <c r="L174" s="114">
        <f>L175/B120*1000</f>
        <v>100</v>
      </c>
      <c r="M174" s="106"/>
      <c r="N174" s="106"/>
      <c r="O174" s="106"/>
      <c r="P174" s="112"/>
      <c r="Q174" s="106"/>
      <c r="R174" s="106"/>
      <c r="S174" s="106"/>
      <c r="T174" s="106"/>
      <c r="U174" s="106"/>
      <c r="V174" s="106"/>
      <c r="W174" s="267"/>
      <c r="X174" s="106"/>
      <c r="Y174" s="106"/>
      <c r="Z174" s="127"/>
      <c r="AA174" s="106"/>
      <c r="AB174" s="403"/>
      <c r="AC174" s="291"/>
      <c r="AD174" s="123"/>
    </row>
    <row r="175" spans="1:30" ht="16.5" thickBot="1">
      <c r="A175" s="346" t="str">
        <f>A80</f>
        <v>Фрукты свеж.</v>
      </c>
      <c r="B175" s="347">
        <f>B80</f>
        <v>100</v>
      </c>
      <c r="C175" s="348" t="s">
        <v>73</v>
      </c>
      <c r="D175" s="348"/>
      <c r="E175" s="337"/>
      <c r="F175" s="349"/>
      <c r="G175" s="337"/>
      <c r="H175" s="338"/>
      <c r="I175" s="337"/>
      <c r="J175" s="337"/>
      <c r="K175" s="337"/>
      <c r="L175" s="342">
        <v>10</v>
      </c>
      <c r="M175" s="337"/>
      <c r="N175" s="337"/>
      <c r="O175" s="337"/>
      <c r="P175" s="338"/>
      <c r="Q175" s="337"/>
      <c r="R175" s="337"/>
      <c r="S175" s="337"/>
      <c r="T175" s="388"/>
      <c r="U175" s="337"/>
      <c r="V175" s="337"/>
      <c r="W175" s="345"/>
      <c r="X175" s="337"/>
      <c r="Y175" s="337"/>
      <c r="Z175" s="340"/>
      <c r="AA175" s="337"/>
      <c r="AB175" s="402"/>
      <c r="AC175" s="399">
        <f>ROUND(E175+G175+I175+J175+L175+M175+N175+O175+Q175+S175+T175+U175+V175+X175+Z175+AA175+AB175,2)</f>
        <v>10</v>
      </c>
      <c r="AD175" s="344">
        <f>AC175*B175</f>
        <v>1000</v>
      </c>
    </row>
    <row r="176" spans="1:30" ht="15" customHeight="1" thickTop="1">
      <c r="A176" s="133"/>
      <c r="B176" s="213"/>
      <c r="C176" s="427" t="s">
        <v>72</v>
      </c>
      <c r="D176" s="295"/>
      <c r="E176" s="106"/>
      <c r="F176" s="177"/>
      <c r="G176" s="106"/>
      <c r="H176" s="112"/>
      <c r="I176" s="106"/>
      <c r="J176" s="106"/>
      <c r="K176" s="106"/>
      <c r="L176" s="106"/>
      <c r="M176" s="127"/>
      <c r="N176" s="127"/>
      <c r="O176" s="106"/>
      <c r="P176" s="112"/>
      <c r="Q176" s="129"/>
      <c r="R176" s="129"/>
      <c r="S176" s="129"/>
      <c r="T176" s="106"/>
      <c r="U176" s="106"/>
      <c r="V176" s="127"/>
      <c r="W176" s="267"/>
      <c r="X176" s="106"/>
      <c r="Y176" s="106"/>
      <c r="Z176" s="106"/>
      <c r="AA176" s="106"/>
      <c r="AB176" s="403"/>
      <c r="AC176" s="291"/>
      <c r="AD176" s="123"/>
    </row>
    <row r="177" spans="1:30" ht="16.5" thickBot="1">
      <c r="A177" s="346" t="str">
        <f>A82</f>
        <v>Томатная паста</v>
      </c>
      <c r="B177" s="347">
        <f>B82</f>
        <v>370</v>
      </c>
      <c r="C177" s="348" t="s">
        <v>73</v>
      </c>
      <c r="D177" s="348"/>
      <c r="E177" s="337"/>
      <c r="F177" s="349"/>
      <c r="G177" s="337"/>
      <c r="H177" s="338"/>
      <c r="I177" s="337"/>
      <c r="J177" s="337"/>
      <c r="K177" s="337"/>
      <c r="L177" s="337"/>
      <c r="M177" s="339"/>
      <c r="N177" s="339"/>
      <c r="O177" s="337"/>
      <c r="P177" s="349"/>
      <c r="Q177" s="340"/>
      <c r="R177" s="340"/>
      <c r="S177" s="341"/>
      <c r="T177" s="337"/>
      <c r="U177" s="337"/>
      <c r="V177" s="350"/>
      <c r="W177" s="345"/>
      <c r="X177" s="337"/>
      <c r="Y177" s="337"/>
      <c r="Z177" s="337"/>
      <c r="AA177" s="337"/>
      <c r="AB177" s="402"/>
      <c r="AC177" s="399">
        <f>ROUND(E177+G177+I177+J177+K177+L177+M177+N177+O177+Q177+S177+T177+U177+V177+X177+Z177+AA177+AB177,2)</f>
        <v>0</v>
      </c>
      <c r="AD177" s="344">
        <f>AC177*B177</f>
        <v>0</v>
      </c>
    </row>
    <row r="178" spans="1:30" ht="15.75" customHeight="1" thickTop="1">
      <c r="A178" s="133"/>
      <c r="B178" s="213"/>
      <c r="C178" s="427" t="s">
        <v>72</v>
      </c>
      <c r="D178" s="295"/>
      <c r="E178" s="105"/>
      <c r="F178" s="177"/>
      <c r="G178" s="105"/>
      <c r="H178" s="112"/>
      <c r="I178" s="105"/>
      <c r="J178" s="105"/>
      <c r="K178" s="105"/>
      <c r="L178" s="127"/>
      <c r="M178" s="131">
        <v>0.09</v>
      </c>
      <c r="N178" s="127"/>
      <c r="O178" s="105"/>
      <c r="P178" s="112"/>
      <c r="Q178" s="105"/>
      <c r="R178" s="105"/>
      <c r="S178" s="105"/>
      <c r="T178" s="127">
        <v>0.15</v>
      </c>
      <c r="U178" s="105"/>
      <c r="V178" s="105"/>
      <c r="W178" s="545"/>
      <c r="X178" s="105"/>
      <c r="Y178" s="105"/>
      <c r="Z178" s="105"/>
      <c r="AA178" s="105"/>
      <c r="AB178" s="403"/>
      <c r="AC178" s="291"/>
      <c r="AD178" s="123"/>
    </row>
    <row r="179" spans="1:30" ht="16.5" thickBot="1">
      <c r="A179" s="346" t="str">
        <f>A84</f>
        <v>Лимонная к-та</v>
      </c>
      <c r="B179" s="347">
        <f>B84</f>
        <v>900</v>
      </c>
      <c r="C179" s="348" t="s">
        <v>73</v>
      </c>
      <c r="D179" s="348"/>
      <c r="E179" s="337"/>
      <c r="F179" s="349"/>
      <c r="G179" s="337"/>
      <c r="H179" s="338"/>
      <c r="I179" s="337"/>
      <c r="J179" s="337"/>
      <c r="K179" s="337"/>
      <c r="L179" s="355"/>
      <c r="M179" s="366">
        <f>M178*B120/1000</f>
        <v>8.9999999999999993E-3</v>
      </c>
      <c r="N179" s="355"/>
      <c r="O179" s="337"/>
      <c r="P179" s="338"/>
      <c r="Q179" s="337"/>
      <c r="R179" s="337"/>
      <c r="S179" s="337"/>
      <c r="T179" s="357">
        <f>T178*B120/1000</f>
        <v>1.4999999999999999E-2</v>
      </c>
      <c r="U179" s="337"/>
      <c r="V179" s="337"/>
      <c r="W179" s="546"/>
      <c r="X179" s="340"/>
      <c r="Y179" s="340"/>
      <c r="Z179" s="337"/>
      <c r="AA179" s="337"/>
      <c r="AB179" s="402"/>
      <c r="AC179" s="400">
        <f>ROUND(E179+G179+I179+J179+K179+L179+M179+N179+O179+Q179+S179+T179+U179+V179+X179+Z179+AA179+AB179,3)</f>
        <v>2.4E-2</v>
      </c>
      <c r="AD179" s="344">
        <f>AC179*B179</f>
        <v>21.6</v>
      </c>
    </row>
    <row r="180" spans="1:30" ht="15" customHeight="1" thickTop="1">
      <c r="A180" s="141"/>
      <c r="B180" s="213"/>
      <c r="C180" s="427" t="s">
        <v>72</v>
      </c>
      <c r="D180" s="295"/>
      <c r="E180" s="106"/>
      <c r="F180" s="177"/>
      <c r="G180" s="128"/>
      <c r="H180" s="112"/>
      <c r="I180" s="106"/>
      <c r="J180" s="106"/>
      <c r="K180" s="106"/>
      <c r="L180" s="106"/>
      <c r="M180" s="106"/>
      <c r="N180" s="114"/>
      <c r="O180" s="128"/>
      <c r="P180" s="112"/>
      <c r="Q180" s="127"/>
      <c r="R180" s="112"/>
      <c r="S180" s="127"/>
      <c r="T180" s="106"/>
      <c r="U180" s="106"/>
      <c r="V180" s="106"/>
      <c r="W180" s="497">
        <f>6/80*W121</f>
        <v>6</v>
      </c>
      <c r="X180" s="129">
        <f>W180/W121*X121</f>
        <v>6</v>
      </c>
      <c r="Y180" s="127"/>
      <c r="Z180" s="106"/>
      <c r="AA180" s="106"/>
      <c r="AB180" s="403"/>
      <c r="AC180" s="291"/>
      <c r="AD180" s="123"/>
    </row>
    <row r="181" spans="1:30" ht="16.5" thickBot="1">
      <c r="A181" s="346" t="str">
        <f>A86</f>
        <v>Манная кр.</v>
      </c>
      <c r="B181" s="347">
        <f>B86</f>
        <v>37.53</v>
      </c>
      <c r="C181" s="348" t="s">
        <v>73</v>
      </c>
      <c r="D181" s="348"/>
      <c r="E181" s="337"/>
      <c r="F181" s="349"/>
      <c r="G181" s="340"/>
      <c r="H181" s="338"/>
      <c r="I181" s="337"/>
      <c r="J181" s="337"/>
      <c r="K181" s="337"/>
      <c r="L181" s="337"/>
      <c r="M181" s="337"/>
      <c r="N181" s="424"/>
      <c r="O181" s="339"/>
      <c r="P181" s="349"/>
      <c r="Q181" s="340"/>
      <c r="R181" s="349"/>
      <c r="S181" s="339"/>
      <c r="T181" s="337"/>
      <c r="U181" s="337"/>
      <c r="V181" s="337"/>
      <c r="W181" s="363">
        <f>W180*F120/1000</f>
        <v>0.6</v>
      </c>
      <c r="X181" s="341">
        <f>ROUND(W181,2)</f>
        <v>0.6</v>
      </c>
      <c r="Y181" s="340"/>
      <c r="Z181" s="337"/>
      <c r="AA181" s="337"/>
      <c r="AB181" s="402"/>
      <c r="AC181" s="399">
        <f>ROUND(E181+G181+I181+J181+K181+L181+M181+N181+O181+Q181+S181+T181+U181+V181+X181+Z181+AA181+AB181,2)</f>
        <v>0.6</v>
      </c>
      <c r="AD181" s="344">
        <f>AC181*B181</f>
        <v>22.518000000000001</v>
      </c>
    </row>
    <row r="182" spans="1:30" ht="15" customHeight="1" thickTop="1">
      <c r="A182" s="133"/>
      <c r="B182" s="213"/>
      <c r="C182" s="427" t="s">
        <v>72</v>
      </c>
      <c r="D182" s="295"/>
      <c r="E182" s="106"/>
      <c r="F182" s="177">
        <v>0.6</v>
      </c>
      <c r="G182" s="128">
        <f>F182/F121*G121</f>
        <v>0.6</v>
      </c>
      <c r="H182" s="112"/>
      <c r="I182" s="106"/>
      <c r="J182" s="106"/>
      <c r="K182" s="106"/>
      <c r="L182" s="127"/>
      <c r="M182" s="131">
        <v>0.05</v>
      </c>
      <c r="N182" s="127">
        <v>0.4</v>
      </c>
      <c r="O182" s="106"/>
      <c r="P182" s="112">
        <v>0.3</v>
      </c>
      <c r="Q182" s="128">
        <f>Q183/B120*1000</f>
        <v>0.3</v>
      </c>
      <c r="R182" s="128"/>
      <c r="S182" s="128">
        <v>1</v>
      </c>
      <c r="T182" s="106"/>
      <c r="U182" s="106"/>
      <c r="V182" s="127"/>
      <c r="W182" s="543">
        <v>0.3</v>
      </c>
      <c r="X182" s="127"/>
      <c r="Y182" s="127"/>
      <c r="Z182" s="106"/>
      <c r="AA182" s="106"/>
      <c r="AB182" s="403"/>
      <c r="AC182" s="291"/>
      <c r="AD182" s="123"/>
    </row>
    <row r="183" spans="1:30" ht="16.5" thickBot="1">
      <c r="A183" s="346" t="str">
        <f>A88</f>
        <v>Соль иодиров.</v>
      </c>
      <c r="B183" s="347">
        <f>B88</f>
        <v>28</v>
      </c>
      <c r="C183" s="348" t="s">
        <v>73</v>
      </c>
      <c r="D183" s="348"/>
      <c r="E183" s="337"/>
      <c r="F183" s="349">
        <f>F182*F120/1000</f>
        <v>0.06</v>
      </c>
      <c r="G183" s="339">
        <f>ROUND(F183,2)</f>
        <v>0.06</v>
      </c>
      <c r="H183" s="338"/>
      <c r="I183" s="337"/>
      <c r="J183" s="337"/>
      <c r="K183" s="337"/>
      <c r="L183" s="339"/>
      <c r="M183" s="341">
        <f>M182*B120/1000</f>
        <v>5.0000000000000001E-3</v>
      </c>
      <c r="N183" s="339">
        <f>N182*B120/1000</f>
        <v>0.04</v>
      </c>
      <c r="O183" s="337"/>
      <c r="P183" s="349">
        <f>P182*P120/1000</f>
        <v>0.03</v>
      </c>
      <c r="Q183" s="339">
        <f>ROUND(P183,2)</f>
        <v>0.03</v>
      </c>
      <c r="R183" s="339"/>
      <c r="S183" s="341">
        <f>S182*B120/1000</f>
        <v>0.1</v>
      </c>
      <c r="T183" s="337"/>
      <c r="U183" s="337"/>
      <c r="V183" s="340"/>
      <c r="W183" s="544">
        <f>ROUND(W182*B120/1000,2)</f>
        <v>0.03</v>
      </c>
      <c r="X183" s="339"/>
      <c r="Y183" s="339"/>
      <c r="Z183" s="337"/>
      <c r="AA183" s="337"/>
      <c r="AB183" s="402"/>
      <c r="AC183" s="399">
        <f>ROUND(E183+G183+I183+J183+K183+L183+M183+N183+O183+Q183+S183+T183+U183+W183+V183+X183+Z183+AA183+AB183,2)</f>
        <v>0.27</v>
      </c>
      <c r="AD183" s="344">
        <f>AC183*B183</f>
        <v>7.5600000000000005</v>
      </c>
    </row>
    <row r="184" spans="1:30" ht="15" customHeight="1" thickTop="1">
      <c r="A184" s="133"/>
      <c r="B184" s="213"/>
      <c r="C184" s="427" t="s">
        <v>72</v>
      </c>
      <c r="D184" s="295"/>
      <c r="E184" s="106"/>
      <c r="F184" s="112"/>
      <c r="G184" s="106"/>
      <c r="H184" s="112"/>
      <c r="I184" s="106"/>
      <c r="J184" s="106"/>
      <c r="K184" s="106"/>
      <c r="L184" s="127"/>
      <c r="M184" s="106"/>
      <c r="N184" s="106"/>
      <c r="O184" s="106"/>
      <c r="P184" s="112"/>
      <c r="Q184" s="106"/>
      <c r="R184" s="106"/>
      <c r="S184" s="106"/>
      <c r="T184" s="106"/>
      <c r="U184" s="106"/>
      <c r="V184" s="106"/>
      <c r="W184" s="543"/>
      <c r="X184" s="127"/>
      <c r="Y184" s="127"/>
      <c r="Z184" s="106"/>
      <c r="AA184" s="106"/>
      <c r="AB184" s="403"/>
      <c r="AC184" s="291"/>
      <c r="AD184" s="123"/>
    </row>
    <row r="185" spans="1:30" ht="16.5" thickBot="1">
      <c r="A185" s="346">
        <f>A90</f>
        <v>0</v>
      </c>
      <c r="B185" s="347">
        <f>B90</f>
        <v>0</v>
      </c>
      <c r="C185" s="348" t="s">
        <v>73</v>
      </c>
      <c r="D185" s="348"/>
      <c r="E185" s="337"/>
      <c r="F185" s="338"/>
      <c r="G185" s="337"/>
      <c r="H185" s="338"/>
      <c r="I185" s="337"/>
      <c r="J185" s="337"/>
      <c r="K185" s="337"/>
      <c r="L185" s="342"/>
      <c r="M185" s="337"/>
      <c r="N185" s="337"/>
      <c r="O185" s="337"/>
      <c r="P185" s="338"/>
      <c r="Q185" s="337"/>
      <c r="R185" s="337"/>
      <c r="S185" s="337"/>
      <c r="T185" s="337"/>
      <c r="U185" s="337"/>
      <c r="V185" s="337"/>
      <c r="W185" s="547"/>
      <c r="X185" s="357"/>
      <c r="Y185" s="357"/>
      <c r="Z185" s="337"/>
      <c r="AA185" s="337"/>
      <c r="AB185" s="402"/>
      <c r="AC185" s="399">
        <f>ROUND(E185+G185+I185+J185+K185+L185+M185+N185+O185+Q185+S185+T185+U185+V185+X185+Z185+AA185+AB185,2)</f>
        <v>0</v>
      </c>
      <c r="AD185" s="344">
        <f>AC185*B185</f>
        <v>0</v>
      </c>
    </row>
    <row r="186" spans="1:30" ht="15.75">
      <c r="A186" s="136"/>
      <c r="B186" s="6"/>
      <c r="C186" s="75"/>
      <c r="D186" s="298"/>
      <c r="E186" s="271"/>
      <c r="F186" s="112"/>
      <c r="G186" s="105"/>
      <c r="H186" s="112"/>
      <c r="I186" s="105"/>
      <c r="J186" s="105"/>
      <c r="K186" s="105"/>
      <c r="L186" s="105"/>
      <c r="M186" s="105"/>
      <c r="N186" s="105"/>
      <c r="O186" s="105"/>
      <c r="P186" s="112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403"/>
      <c r="AC186" s="125"/>
      <c r="AD186" s="126">
        <f>AD123+AD125+AD127+AD129+AD131+AD133+AD135+AD137+AD139+AD141+AD143+AD145+AD155+AD157+AD159+AD161+AD163+AD165+AD167+AD169+AD171+AD173+AD175+AD177+AD179+AD181+AD183+AD185</f>
        <v>10092.233700000001</v>
      </c>
    </row>
    <row r="188" spans="1:30">
      <c r="A188" s="43" t="s">
        <v>311</v>
      </c>
      <c r="T188" s="43" t="s">
        <v>30</v>
      </c>
      <c r="AD188" s="118">
        <f>J108</f>
        <v>11000</v>
      </c>
    </row>
    <row r="189" spans="1:30">
      <c r="A189" s="43" t="s">
        <v>50</v>
      </c>
      <c r="T189" s="43" t="s">
        <v>31</v>
      </c>
    </row>
    <row r="190" spans="1:30">
      <c r="A190" s="43" t="s">
        <v>318</v>
      </c>
      <c r="T190" s="43" t="s">
        <v>333</v>
      </c>
    </row>
    <row r="191" spans="1:30">
      <c r="A191" s="43" t="s">
        <v>37</v>
      </c>
      <c r="T191" s="43" t="s">
        <v>31</v>
      </c>
    </row>
  </sheetData>
  <mergeCells count="178">
    <mergeCell ref="B9:C9"/>
    <mergeCell ref="E9:G9"/>
    <mergeCell ref="H9:I9"/>
    <mergeCell ref="J9:M9"/>
    <mergeCell ref="P9:Q9"/>
    <mergeCell ref="B10:C10"/>
    <mergeCell ref="J10:M10"/>
    <mergeCell ref="P11:Q11"/>
    <mergeCell ref="O3:AD3"/>
    <mergeCell ref="A6:C6"/>
    <mergeCell ref="E6:G6"/>
    <mergeCell ref="H6:I6"/>
    <mergeCell ref="J6:M6"/>
    <mergeCell ref="AC6:AD6"/>
    <mergeCell ref="AC7:AD7"/>
    <mergeCell ref="B8:C8"/>
    <mergeCell ref="E8:G8"/>
    <mergeCell ref="H8:I8"/>
    <mergeCell ref="J8:M8"/>
    <mergeCell ref="N8:O8"/>
    <mergeCell ref="P8:Q8"/>
    <mergeCell ref="A7:C7"/>
    <mergeCell ref="E7:G7"/>
    <mergeCell ref="H7:I7"/>
    <mergeCell ref="J7:M7"/>
    <mergeCell ref="N7:O7"/>
    <mergeCell ref="P7:Q7"/>
    <mergeCell ref="AA6:AB6"/>
    <mergeCell ref="S7:X8"/>
    <mergeCell ref="Y7:Z7"/>
    <mergeCell ref="AA7:AB7"/>
    <mergeCell ref="Q21:Q23"/>
    <mergeCell ref="E19:J20"/>
    <mergeCell ref="M19:U20"/>
    <mergeCell ref="V19:AB20"/>
    <mergeCell ref="S11:Y12"/>
    <mergeCell ref="J13:M13"/>
    <mergeCell ref="N13:O13"/>
    <mergeCell ref="N15:O15"/>
    <mergeCell ref="Y21:Y23"/>
    <mergeCell ref="AC19:AD19"/>
    <mergeCell ref="AC20:AD20"/>
    <mergeCell ref="AC18:AD18"/>
    <mergeCell ref="E21:E23"/>
    <mergeCell ref="H21:I23"/>
    <mergeCell ref="J21:J23"/>
    <mergeCell ref="K21:K23"/>
    <mergeCell ref="M21:M23"/>
    <mergeCell ref="AB21:AB23"/>
    <mergeCell ref="R21:S23"/>
    <mergeCell ref="AC52:AD52"/>
    <mergeCell ref="E53:J54"/>
    <mergeCell ref="M53:U54"/>
    <mergeCell ref="V53:AB54"/>
    <mergeCell ref="AC53:AD53"/>
    <mergeCell ref="AC54:AD54"/>
    <mergeCell ref="L21:L23"/>
    <mergeCell ref="F21:G23"/>
    <mergeCell ref="W21:W23"/>
    <mergeCell ref="Z21:Z23"/>
    <mergeCell ref="AA21:AA23"/>
    <mergeCell ref="N21:N23"/>
    <mergeCell ref="O21:O23"/>
    <mergeCell ref="T21:T23"/>
    <mergeCell ref="U21:U23"/>
    <mergeCell ref="V21:V23"/>
    <mergeCell ref="P21:P23"/>
    <mergeCell ref="L55:L57"/>
    <mergeCell ref="Y55:Y57"/>
    <mergeCell ref="S55:S57"/>
    <mergeCell ref="N55:N57"/>
    <mergeCell ref="O55:O57"/>
    <mergeCell ref="P55:Q57"/>
    <mergeCell ref="T55:T57"/>
    <mergeCell ref="U55:U57"/>
    <mergeCell ref="V55:V57"/>
    <mergeCell ref="AC102:AD102"/>
    <mergeCell ref="AC101:AD101"/>
    <mergeCell ref="X55:X57"/>
    <mergeCell ref="AA101:AB101"/>
    <mergeCell ref="S102:X103"/>
    <mergeCell ref="Y102:Z102"/>
    <mergeCell ref="AA102:AB102"/>
    <mergeCell ref="W55:W57"/>
    <mergeCell ref="Z55:Z57"/>
    <mergeCell ref="AA55:AA57"/>
    <mergeCell ref="AB55:AB57"/>
    <mergeCell ref="A101:C101"/>
    <mergeCell ref="E101:G101"/>
    <mergeCell ref="H101:I101"/>
    <mergeCell ref="J101:M101"/>
    <mergeCell ref="A102:C102"/>
    <mergeCell ref="E102:G102"/>
    <mergeCell ref="H102:I102"/>
    <mergeCell ref="J102:M102"/>
    <mergeCell ref="N102:O102"/>
    <mergeCell ref="B104:C104"/>
    <mergeCell ref="E104:G104"/>
    <mergeCell ref="H104:I104"/>
    <mergeCell ref="J104:M104"/>
    <mergeCell ref="P104:Q104"/>
    <mergeCell ref="B105:C105"/>
    <mergeCell ref="J105:M105"/>
    <mergeCell ref="B103:C103"/>
    <mergeCell ref="E103:G103"/>
    <mergeCell ref="H103:I103"/>
    <mergeCell ref="J103:M103"/>
    <mergeCell ref="N103:O103"/>
    <mergeCell ref="P103:Q103"/>
    <mergeCell ref="X150:X152"/>
    <mergeCell ref="R150:S152"/>
    <mergeCell ref="Y150:Y152"/>
    <mergeCell ref="P106:Q106"/>
    <mergeCell ref="J108:M108"/>
    <mergeCell ref="N108:O108"/>
    <mergeCell ref="N110:O110"/>
    <mergeCell ref="S106:Y107"/>
    <mergeCell ref="D55:D57"/>
    <mergeCell ref="M55:M57"/>
    <mergeCell ref="O98:AD98"/>
    <mergeCell ref="L150:L152"/>
    <mergeCell ref="D150:D152"/>
    <mergeCell ref="W150:W152"/>
    <mergeCell ref="Z150:Z152"/>
    <mergeCell ref="AA150:AA152"/>
    <mergeCell ref="AB150:AB152"/>
    <mergeCell ref="N150:N152"/>
    <mergeCell ref="O150:O152"/>
    <mergeCell ref="E55:E57"/>
    <mergeCell ref="F55:G57"/>
    <mergeCell ref="H55:I57"/>
    <mergeCell ref="J55:J57"/>
    <mergeCell ref="K55:K57"/>
    <mergeCell ref="AC147:AD147"/>
    <mergeCell ref="E148:J149"/>
    <mergeCell ref="M148:U149"/>
    <mergeCell ref="V148:AB149"/>
    <mergeCell ref="AC148:AD148"/>
    <mergeCell ref="AC149:AD149"/>
    <mergeCell ref="AC113:AD113"/>
    <mergeCell ref="E114:J115"/>
    <mergeCell ref="M114:U115"/>
    <mergeCell ref="V114:AB115"/>
    <mergeCell ref="AC114:AD114"/>
    <mergeCell ref="AC115:AD115"/>
    <mergeCell ref="AB116:AB118"/>
    <mergeCell ref="Z116:Z118"/>
    <mergeCell ref="AA116:AA118"/>
    <mergeCell ref="R116:S118"/>
    <mergeCell ref="L116:L118"/>
    <mergeCell ref="M116:M118"/>
    <mergeCell ref="P116:P118"/>
    <mergeCell ref="Q116:Q118"/>
    <mergeCell ref="Y116:Y118"/>
    <mergeCell ref="D21:D23"/>
    <mergeCell ref="D116:D118"/>
    <mergeCell ref="E150:E152"/>
    <mergeCell ref="F150:G152"/>
    <mergeCell ref="H150:I152"/>
    <mergeCell ref="J150:J152"/>
    <mergeCell ref="K150:K152"/>
    <mergeCell ref="M150:M152"/>
    <mergeCell ref="W116:W118"/>
    <mergeCell ref="N116:N118"/>
    <mergeCell ref="O116:O118"/>
    <mergeCell ref="T116:T118"/>
    <mergeCell ref="U116:U118"/>
    <mergeCell ref="V116:V118"/>
    <mergeCell ref="E116:E118"/>
    <mergeCell ref="H116:I118"/>
    <mergeCell ref="J116:J118"/>
    <mergeCell ref="K116:K118"/>
    <mergeCell ref="F116:G118"/>
    <mergeCell ref="P150:Q152"/>
    <mergeCell ref="T150:T152"/>
    <mergeCell ref="U150:U152"/>
    <mergeCell ref="V150:V152"/>
    <mergeCell ref="P102:Q102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H191"/>
  <sheetViews>
    <sheetView showGridLines="0" topLeftCell="A177" zoomScale="96" zoomScaleNormal="96" workbookViewId="0">
      <selection activeCell="K178" sqref="K178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6" customWidth="1"/>
    <col min="5" max="5" width="7.28515625" customWidth="1"/>
    <col min="6" max="6" width="5.7109375" customWidth="1"/>
    <col min="7" max="7" width="8" customWidth="1"/>
    <col min="8" max="8" width="5.42578125" customWidth="1"/>
    <col min="9" max="9" width="7.140625" customWidth="1"/>
    <col min="10" max="10" width="8.7109375" customWidth="1"/>
    <col min="11" max="11" width="6.140625" customWidth="1"/>
    <col min="12" max="13" width="6.7109375" customWidth="1"/>
    <col min="14" max="14" width="7" customWidth="1"/>
    <col min="15" max="15" width="7.7109375" customWidth="1"/>
    <col min="16" max="16" width="5.28515625" customWidth="1"/>
    <col min="17" max="17" width="8" customWidth="1"/>
    <col min="18" max="18" width="6.28515625" customWidth="1"/>
    <col min="19" max="19" width="7.28515625" customWidth="1"/>
    <col min="20" max="21" width="6.7109375" customWidth="1"/>
    <col min="22" max="22" width="9.7109375" customWidth="1"/>
    <col min="23" max="23" width="0.140625" customWidth="1"/>
    <col min="24" max="25" width="7.5703125" customWidth="1"/>
    <col min="26" max="26" width="8.140625" customWidth="1"/>
    <col min="27" max="27" width="10.5703125" customWidth="1"/>
    <col min="28" max="28" width="7.140625" customWidth="1"/>
    <col min="29" max="29" width="4.7109375" customWidth="1"/>
    <col min="30" max="30" width="8" customWidth="1"/>
    <col min="35" max="35" width="8" customWidth="1"/>
  </cols>
  <sheetData>
    <row r="1" spans="1:34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T1" s="7"/>
      <c r="U1" s="7"/>
      <c r="V1" s="10"/>
      <c r="W1" s="10"/>
      <c r="X1" s="10"/>
      <c r="Y1" s="10"/>
      <c r="Z1" s="11"/>
      <c r="AA1" s="11"/>
      <c r="AB1" s="7"/>
      <c r="AC1" s="7"/>
      <c r="AD1" s="7"/>
      <c r="AE1" s="7"/>
      <c r="AF1" s="7"/>
      <c r="AG1" s="7"/>
      <c r="AH1" s="7"/>
    </row>
    <row r="2" spans="1:34" ht="15" customHeight="1">
      <c r="A2" s="3" t="s">
        <v>326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7"/>
      <c r="U2" s="7"/>
      <c r="V2" s="10"/>
      <c r="W2" s="10"/>
      <c r="X2" s="10"/>
      <c r="Y2" s="10"/>
      <c r="Z2" s="11"/>
      <c r="AA2" s="11"/>
      <c r="AB2" s="7"/>
      <c r="AC2" s="7"/>
      <c r="AD2" s="7"/>
      <c r="AE2" s="7"/>
      <c r="AF2" s="7"/>
      <c r="AG2" s="7"/>
      <c r="AH2" s="7"/>
    </row>
    <row r="3" spans="1:34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1060" t="s">
        <v>80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15"/>
      <c r="AC3" s="115"/>
      <c r="AD3" s="115"/>
      <c r="AE3" s="7"/>
      <c r="AF3" s="7"/>
      <c r="AG3" s="7"/>
      <c r="AH3" s="7"/>
    </row>
    <row r="4" spans="1:34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AB4" s="7"/>
      <c r="AC4" s="7"/>
      <c r="AD4" s="7"/>
      <c r="AE4" s="7"/>
      <c r="AF4" s="7"/>
      <c r="AG4" s="7"/>
      <c r="AH4" s="7"/>
    </row>
    <row r="5" spans="1:34" ht="4.5" customHeight="1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2"/>
      <c r="M5" s="2"/>
      <c r="N5" s="3"/>
      <c r="O5" s="2"/>
      <c r="P5" s="2"/>
      <c r="Q5" s="2"/>
      <c r="R5" s="2"/>
      <c r="S5" s="2"/>
      <c r="T5" s="1"/>
      <c r="U5" s="1"/>
      <c r="V5" s="7"/>
      <c r="W5" s="7"/>
      <c r="X5" s="7"/>
      <c r="Y5" s="7"/>
      <c r="AB5" s="7"/>
      <c r="AC5" s="7"/>
      <c r="AD5" s="7"/>
      <c r="AE5" s="7"/>
      <c r="AF5" s="7"/>
      <c r="AG5" s="7"/>
      <c r="AH5" s="7"/>
    </row>
    <row r="6" spans="1:34" ht="15.75" customHeight="1" thickBot="1">
      <c r="A6" s="1048" t="s">
        <v>42</v>
      </c>
      <c r="B6" s="1048"/>
      <c r="C6" s="1049"/>
      <c r="D6" s="646"/>
      <c r="E6" s="1047" t="s">
        <v>35</v>
      </c>
      <c r="F6" s="1048"/>
      <c r="G6" s="1049"/>
      <c r="H6" s="1047" t="s">
        <v>60</v>
      </c>
      <c r="I6" s="1048"/>
      <c r="J6" s="1047" t="s">
        <v>58</v>
      </c>
      <c r="K6" s="1048"/>
      <c r="L6" s="1165"/>
      <c r="M6" s="587"/>
      <c r="N6" s="31"/>
      <c r="O6" s="21"/>
      <c r="P6" s="31"/>
      <c r="Q6" s="21"/>
      <c r="R6" s="3"/>
      <c r="S6" s="7"/>
      <c r="T6" s="7"/>
      <c r="U6" s="7"/>
      <c r="V6" s="7"/>
      <c r="W6" s="7"/>
      <c r="X6" s="7"/>
      <c r="Y6" s="7"/>
      <c r="Z6" s="1088" t="s">
        <v>0</v>
      </c>
      <c r="AA6" s="1089"/>
      <c r="AB6" s="7"/>
      <c r="AC6" s="7"/>
      <c r="AD6" s="7"/>
      <c r="AE6" s="7"/>
      <c r="AF6" s="7"/>
      <c r="AG6" s="7"/>
      <c r="AH6" s="7"/>
    </row>
    <row r="7" spans="1:34" ht="11.25" customHeight="1">
      <c r="A7" s="1059" t="s">
        <v>43</v>
      </c>
      <c r="B7" s="1059"/>
      <c r="C7" s="1073"/>
      <c r="D7" s="644"/>
      <c r="E7" s="1065" t="s">
        <v>34</v>
      </c>
      <c r="F7" s="1066"/>
      <c r="G7" s="1067"/>
      <c r="H7" s="1065" t="s">
        <v>12</v>
      </c>
      <c r="I7" s="1066"/>
      <c r="J7" s="1065" t="s">
        <v>15</v>
      </c>
      <c r="K7" s="1066"/>
      <c r="L7" s="1197"/>
      <c r="M7" s="586"/>
      <c r="N7" s="1065" t="s">
        <v>14</v>
      </c>
      <c r="O7" s="1067"/>
      <c r="P7" s="1065" t="s">
        <v>55</v>
      </c>
      <c r="Q7" s="1067"/>
      <c r="R7" s="1092" t="s">
        <v>222</v>
      </c>
      <c r="S7" s="1093"/>
      <c r="T7" s="1093"/>
      <c r="U7" s="1093"/>
      <c r="V7" s="1093"/>
      <c r="W7" s="1093"/>
      <c r="X7" s="1094" t="s">
        <v>190</v>
      </c>
      <c r="Y7" s="1111"/>
      <c r="Z7" s="1090" t="s">
        <v>23</v>
      </c>
      <c r="AA7" s="1091"/>
      <c r="AB7" s="7"/>
      <c r="AC7" s="7"/>
      <c r="AD7" s="7"/>
      <c r="AE7" s="7"/>
      <c r="AF7" s="7"/>
      <c r="AG7" s="7"/>
      <c r="AH7" s="7"/>
    </row>
    <row r="8" spans="1:34" ht="9" customHeight="1" thickBot="1">
      <c r="A8" s="524" t="s">
        <v>44</v>
      </c>
      <c r="B8" s="1047" t="s">
        <v>46</v>
      </c>
      <c r="C8" s="1049"/>
      <c r="D8" s="644"/>
      <c r="E8" s="1065" t="s">
        <v>39</v>
      </c>
      <c r="F8" s="1066"/>
      <c r="G8" s="1067"/>
      <c r="H8" s="1065" t="s">
        <v>49</v>
      </c>
      <c r="I8" s="1066"/>
      <c r="J8" s="1065" t="s">
        <v>59</v>
      </c>
      <c r="K8" s="1066"/>
      <c r="L8" s="1197"/>
      <c r="M8" s="586"/>
      <c r="N8" s="1065" t="s">
        <v>40</v>
      </c>
      <c r="O8" s="1067"/>
      <c r="P8" s="1065" t="s">
        <v>56</v>
      </c>
      <c r="Q8" s="1067"/>
      <c r="R8" s="1093"/>
      <c r="S8" s="1093"/>
      <c r="T8" s="1093"/>
      <c r="U8" s="1093"/>
      <c r="V8" s="1093"/>
      <c r="W8" s="1093"/>
      <c r="Z8" s="53"/>
      <c r="AA8" s="56"/>
      <c r="AB8" s="7"/>
      <c r="AC8" s="7"/>
      <c r="AD8" s="7"/>
      <c r="AE8" s="7"/>
      <c r="AF8" s="7"/>
      <c r="AG8" s="7"/>
      <c r="AH8" s="7"/>
    </row>
    <row r="9" spans="1:34" ht="15.75" customHeight="1" thickBot="1">
      <c r="A9" s="523" t="s">
        <v>45</v>
      </c>
      <c r="B9" s="1058" t="s">
        <v>47</v>
      </c>
      <c r="C9" s="1073"/>
      <c r="D9" s="645"/>
      <c r="E9" s="1058" t="s">
        <v>38</v>
      </c>
      <c r="F9" s="1059"/>
      <c r="G9" s="1073"/>
      <c r="H9" s="1058" t="s">
        <v>13</v>
      </c>
      <c r="I9" s="1059"/>
      <c r="J9" s="1058" t="s">
        <v>38</v>
      </c>
      <c r="K9" s="1059"/>
      <c r="L9" s="644"/>
      <c r="M9" s="586"/>
      <c r="N9" s="25"/>
      <c r="O9" s="3"/>
      <c r="P9" s="1058" t="s">
        <v>57</v>
      </c>
      <c r="Q9" s="1073"/>
      <c r="R9" s="3" t="s">
        <v>194</v>
      </c>
      <c r="S9" s="548"/>
      <c r="T9" s="548"/>
      <c r="U9" s="120"/>
      <c r="V9" s="120"/>
      <c r="W9" s="120"/>
      <c r="X9" s="120"/>
      <c r="Y9" s="700" t="s">
        <v>191</v>
      </c>
      <c r="Z9" s="701"/>
      <c r="AA9" s="708"/>
      <c r="AB9" s="120"/>
      <c r="AC9" s="120"/>
      <c r="AD9" s="120"/>
      <c r="AE9" s="7"/>
      <c r="AF9" s="7"/>
      <c r="AG9" s="7"/>
      <c r="AH9" s="7"/>
    </row>
    <row r="10" spans="1:34" ht="6.75" customHeight="1">
      <c r="A10" s="17"/>
      <c r="B10" s="1119" t="s">
        <v>48</v>
      </c>
      <c r="C10" s="1064"/>
      <c r="D10" s="644"/>
      <c r="E10" s="33"/>
      <c r="F10" s="3"/>
      <c r="G10" s="30"/>
      <c r="H10" s="3"/>
      <c r="I10" s="3"/>
      <c r="J10" s="1119"/>
      <c r="K10" s="1064"/>
      <c r="L10" s="522"/>
      <c r="M10" s="586"/>
      <c r="N10" s="25"/>
      <c r="O10" s="3"/>
      <c r="P10" s="25"/>
      <c r="Q10" s="17"/>
      <c r="S10" s="709" t="s">
        <v>96</v>
      </c>
      <c r="Y10" s="32"/>
      <c r="Z10" s="702"/>
      <c r="AA10" s="703"/>
      <c r="AB10" s="54"/>
      <c r="AC10" s="32"/>
    </row>
    <row r="11" spans="1:34" ht="11.25" customHeight="1" thickBot="1">
      <c r="A11" s="58">
        <v>1</v>
      </c>
      <c r="B11" s="62"/>
      <c r="C11" s="63">
        <v>2</v>
      </c>
      <c r="D11" s="292"/>
      <c r="E11" s="515"/>
      <c r="F11" s="515">
        <v>3</v>
      </c>
      <c r="G11" s="516"/>
      <c r="H11" s="515"/>
      <c r="I11" s="515">
        <v>4</v>
      </c>
      <c r="J11" s="515"/>
      <c r="K11" s="515"/>
      <c r="L11" s="515"/>
      <c r="M11" s="588"/>
      <c r="N11" s="518"/>
      <c r="O11" s="515"/>
      <c r="P11" s="1104">
        <v>7</v>
      </c>
      <c r="Q11" s="1105"/>
      <c r="R11" s="1074" t="s">
        <v>307</v>
      </c>
      <c r="S11" s="1061"/>
      <c r="T11" s="1061"/>
      <c r="U11" s="1061"/>
      <c r="V11" s="1061"/>
      <c r="W11" s="1061"/>
      <c r="X11" s="1061"/>
      <c r="Y11" s="699" t="s">
        <v>199</v>
      </c>
      <c r="Z11" s="705"/>
      <c r="AA11" s="704"/>
      <c r="AB11" s="682"/>
      <c r="AC11" s="682"/>
      <c r="AD11" s="7"/>
      <c r="AE11" s="7"/>
      <c r="AF11" s="7"/>
      <c r="AG11" s="7"/>
      <c r="AH11" s="7"/>
    </row>
    <row r="12" spans="1:34" ht="9" customHeight="1">
      <c r="A12" s="37"/>
      <c r="B12" s="38"/>
      <c r="C12" s="38"/>
      <c r="D12" s="38"/>
      <c r="E12" s="38"/>
      <c r="F12" s="38"/>
      <c r="G12" s="39"/>
      <c r="H12" s="38"/>
      <c r="I12" s="38"/>
      <c r="J12" s="38"/>
      <c r="K12" s="38"/>
      <c r="L12" s="38"/>
      <c r="M12" s="38"/>
      <c r="N12" s="40"/>
      <c r="O12" s="39"/>
      <c r="P12" s="41"/>
      <c r="Q12" s="42"/>
      <c r="R12" s="1061"/>
      <c r="S12" s="1061"/>
      <c r="T12" s="1061"/>
      <c r="U12" s="1061"/>
      <c r="V12" s="1061"/>
      <c r="W12" s="1061"/>
      <c r="X12" s="1061"/>
      <c r="Y12" s="56"/>
      <c r="Z12" s="32"/>
      <c r="AA12" s="610"/>
      <c r="AB12" s="32"/>
      <c r="AC12" s="32"/>
      <c r="AD12" s="7"/>
      <c r="AE12" s="7"/>
      <c r="AF12" s="7"/>
      <c r="AG12" s="7"/>
      <c r="AH12" s="7"/>
    </row>
    <row r="13" spans="1:34" ht="19.5" customHeight="1" thickBot="1">
      <c r="A13" s="780" t="s">
        <v>202</v>
      </c>
      <c r="B13" s="28"/>
      <c r="C13" s="28"/>
      <c r="D13" s="28"/>
      <c r="E13" s="28"/>
      <c r="F13" s="28"/>
      <c r="G13" s="219">
        <v>110</v>
      </c>
      <c r="H13" s="28"/>
      <c r="I13" s="140">
        <f>B25</f>
        <v>100</v>
      </c>
      <c r="J13" s="1075">
        <f>G13*I13</f>
        <v>11000</v>
      </c>
      <c r="K13" s="1182"/>
      <c r="L13" s="1182"/>
      <c r="M13" s="1183"/>
      <c r="N13" s="51"/>
      <c r="O13" s="132">
        <f>AA91/B25</f>
        <v>122.078103</v>
      </c>
      <c r="P13" s="14"/>
      <c r="Q13" s="52"/>
      <c r="R13" s="3"/>
      <c r="S13" s="710" t="s">
        <v>332</v>
      </c>
      <c r="T13" s="2"/>
      <c r="U13" s="538"/>
      <c r="V13" s="7"/>
      <c r="W13" s="7"/>
      <c r="X13" s="7"/>
      <c r="Y13" s="699"/>
      <c r="Z13" s="7"/>
      <c r="AA13" s="704"/>
      <c r="AB13" s="8"/>
      <c r="AC13" s="7"/>
      <c r="AD13" s="7"/>
      <c r="AE13" s="7"/>
      <c r="AF13" s="7"/>
      <c r="AG13" s="7"/>
      <c r="AH13" s="7"/>
    </row>
    <row r="14" spans="1:34" ht="12.7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28"/>
      <c r="K14" s="28"/>
      <c r="L14" s="28"/>
      <c r="M14" s="28"/>
      <c r="N14" s="51"/>
      <c r="O14" s="27"/>
      <c r="P14" s="14"/>
      <c r="Q14" s="52"/>
      <c r="R14" s="3"/>
      <c r="S14" s="7"/>
      <c r="T14" s="7"/>
      <c r="X14" s="32"/>
      <c r="Y14" s="56"/>
      <c r="Z14" s="41"/>
      <c r="AA14" s="707"/>
      <c r="AB14" s="32"/>
      <c r="AC14" s="32"/>
      <c r="AD14" s="7"/>
      <c r="AE14" s="7"/>
      <c r="AF14" s="7"/>
      <c r="AG14" s="7"/>
      <c r="AH14" s="7"/>
    </row>
    <row r="15" spans="1:34" ht="15.75" customHeight="1" thickBot="1">
      <c r="A15" s="779"/>
      <c r="B15" s="38"/>
      <c r="C15" s="38"/>
      <c r="D15" s="38"/>
      <c r="E15" s="38"/>
      <c r="F15" s="38"/>
      <c r="G15" s="38"/>
      <c r="H15" s="38"/>
      <c r="I15" s="42" t="s">
        <v>33</v>
      </c>
      <c r="J15" s="45"/>
      <c r="K15" s="45"/>
      <c r="L15" s="45"/>
      <c r="M15" s="45"/>
      <c r="N15" s="1116">
        <f>O13*B25</f>
        <v>12207.810299999999</v>
      </c>
      <c r="O15" s="1226"/>
      <c r="P15" s="46"/>
      <c r="Q15" s="47"/>
      <c r="R15" s="3" t="s">
        <v>193</v>
      </c>
      <c r="S15" s="7"/>
      <c r="T15" s="7"/>
      <c r="U15" s="549"/>
      <c r="V15" s="711" t="s">
        <v>309</v>
      </c>
      <c r="Y15" s="56"/>
      <c r="Z15" s="66"/>
      <c r="AA15" s="704"/>
      <c r="AB15" s="32"/>
      <c r="AC15" s="32"/>
      <c r="AD15" s="7"/>
      <c r="AE15" s="7"/>
      <c r="AF15" s="7"/>
      <c r="AG15" s="7"/>
      <c r="AH15" s="7"/>
    </row>
    <row r="16" spans="1:34" ht="14.25" customHeight="1">
      <c r="A16" s="3"/>
      <c r="B16" s="3"/>
      <c r="C16" s="3"/>
      <c r="D16" s="3"/>
      <c r="E16" s="3"/>
      <c r="F16" s="3"/>
      <c r="G16" s="3"/>
      <c r="H16" s="3"/>
      <c r="I16" s="3"/>
      <c r="J16" s="770"/>
      <c r="K16" s="770"/>
      <c r="L16" s="770"/>
      <c r="M16" s="770"/>
      <c r="N16" s="770"/>
      <c r="O16" s="770"/>
      <c r="P16" s="492"/>
      <c r="Q16" s="770"/>
      <c r="R16" s="3"/>
      <c r="S16" s="7"/>
      <c r="T16" s="7"/>
      <c r="Y16" s="32"/>
      <c r="Z16" s="32"/>
      <c r="AB16" s="8"/>
      <c r="AC16" s="7"/>
      <c r="AD16" s="7"/>
      <c r="AE16" s="7"/>
      <c r="AF16" s="7"/>
      <c r="AG16" s="7"/>
      <c r="AH16" s="7"/>
    </row>
    <row r="17" spans="1:34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7"/>
      <c r="V17" s="7"/>
      <c r="W17" s="7"/>
      <c r="X17" s="7"/>
      <c r="Y17" s="7"/>
      <c r="Z17" s="8"/>
      <c r="AA17" s="8"/>
      <c r="AB17" s="7"/>
      <c r="AC17" s="7"/>
      <c r="AD17" s="7"/>
      <c r="AE17" s="7"/>
      <c r="AF17" s="7"/>
      <c r="AG17" s="7"/>
      <c r="AH17" s="7"/>
    </row>
    <row r="18" spans="1:34" ht="12" customHeight="1">
      <c r="A18" s="26" t="s">
        <v>53</v>
      </c>
      <c r="B18" s="20"/>
      <c r="C18" s="65"/>
      <c r="D18" s="65"/>
      <c r="E18" s="14"/>
      <c r="F18" s="14"/>
      <c r="G18" s="14"/>
      <c r="H18" s="14"/>
      <c r="I18" s="14"/>
      <c r="J18" s="14"/>
      <c r="K18" s="14"/>
      <c r="L18" s="14"/>
      <c r="M18" s="14"/>
      <c r="N18" s="28" t="s">
        <v>41</v>
      </c>
      <c r="O18" s="14"/>
      <c r="P18" s="14"/>
      <c r="Q18" s="14"/>
      <c r="R18" s="28"/>
      <c r="S18" s="28"/>
      <c r="T18" s="28"/>
      <c r="U18" s="28"/>
      <c r="V18" s="14"/>
      <c r="W18" s="14"/>
      <c r="X18" s="14"/>
      <c r="Y18" s="14"/>
      <c r="Z18" s="1047" t="s">
        <v>8</v>
      </c>
      <c r="AA18" s="1048"/>
      <c r="AB18" s="7"/>
      <c r="AC18" s="7"/>
      <c r="AD18" s="7"/>
      <c r="AE18" s="7"/>
      <c r="AF18" s="7"/>
      <c r="AG18" s="7"/>
      <c r="AH18" s="7"/>
    </row>
    <row r="19" spans="1:34" ht="12" customHeight="1">
      <c r="A19" s="524"/>
      <c r="B19" s="19"/>
      <c r="C19" s="70" t="s">
        <v>52</v>
      </c>
      <c r="D19" s="644"/>
      <c r="E19" s="1052" t="s">
        <v>108</v>
      </c>
      <c r="F19" s="1084"/>
      <c r="G19" s="1084"/>
      <c r="H19" s="1084"/>
      <c r="I19" s="1084"/>
      <c r="J19" s="1085"/>
      <c r="K19" s="515" t="s">
        <v>69</v>
      </c>
      <c r="L19" s="1056" t="s">
        <v>130</v>
      </c>
      <c r="M19" s="1052"/>
      <c r="N19" s="1052"/>
      <c r="O19" s="1052"/>
      <c r="P19" s="1052"/>
      <c r="Q19" s="1052"/>
      <c r="R19" s="1052"/>
      <c r="S19" s="1052"/>
      <c r="T19" s="1052"/>
      <c r="U19" s="928"/>
      <c r="V19" s="1052" t="s">
        <v>17</v>
      </c>
      <c r="W19" s="1052"/>
      <c r="X19" s="1052"/>
      <c r="Y19" s="1087"/>
      <c r="Z19" s="1059" t="s">
        <v>3</v>
      </c>
      <c r="AA19" s="1059"/>
      <c r="AB19" s="7"/>
      <c r="AC19" s="7"/>
      <c r="AD19" s="7"/>
      <c r="AE19" s="7"/>
      <c r="AF19" s="7"/>
      <c r="AG19" s="7"/>
      <c r="AH19" s="7"/>
    </row>
    <row r="20" spans="1:34" ht="6.75" customHeight="1">
      <c r="A20" s="523"/>
      <c r="B20" s="5"/>
      <c r="C20" s="70" t="s">
        <v>51</v>
      </c>
      <c r="D20" s="644"/>
      <c r="E20" s="1054"/>
      <c r="F20" s="1054"/>
      <c r="G20" s="1054"/>
      <c r="H20" s="1054"/>
      <c r="I20" s="1054"/>
      <c r="J20" s="1086"/>
      <c r="K20" s="517"/>
      <c r="L20" s="1057"/>
      <c r="M20" s="1054"/>
      <c r="N20" s="1054"/>
      <c r="O20" s="1054"/>
      <c r="P20" s="1054"/>
      <c r="Q20" s="1054"/>
      <c r="R20" s="1054"/>
      <c r="S20" s="1054"/>
      <c r="T20" s="1054"/>
      <c r="U20" s="929"/>
      <c r="V20" s="1054"/>
      <c r="W20" s="1054"/>
      <c r="X20" s="1054"/>
      <c r="Y20" s="1086"/>
      <c r="Z20" s="1048" t="s">
        <v>36</v>
      </c>
      <c r="AA20" s="1048"/>
      <c r="AB20" s="8"/>
      <c r="AC20" s="8"/>
      <c r="AD20" s="7"/>
      <c r="AE20" s="7"/>
      <c r="AF20" s="7"/>
      <c r="AG20" s="7"/>
      <c r="AH20" s="7"/>
    </row>
    <row r="21" spans="1:34" ht="10.5" customHeight="1">
      <c r="A21" s="523" t="s">
        <v>54</v>
      </c>
      <c r="B21" s="5"/>
      <c r="C21" s="70" t="s">
        <v>9</v>
      </c>
      <c r="D21" s="1101" t="s">
        <v>168</v>
      </c>
      <c r="E21" s="1081" t="s">
        <v>169</v>
      </c>
      <c r="F21" s="1041" t="s">
        <v>126</v>
      </c>
      <c r="G21" s="1096"/>
      <c r="H21" s="1041" t="s">
        <v>118</v>
      </c>
      <c r="I21" s="1038"/>
      <c r="J21" s="1044" t="s">
        <v>62</v>
      </c>
      <c r="K21" s="1035" t="s">
        <v>225</v>
      </c>
      <c r="L21" s="783" t="s">
        <v>69</v>
      </c>
      <c r="M21" s="736"/>
      <c r="N21" s="736"/>
      <c r="O21" s="1038" t="s">
        <v>273</v>
      </c>
      <c r="P21" s="1078" t="s">
        <v>274</v>
      </c>
      <c r="Q21" s="1258"/>
      <c r="R21" s="1041" t="s">
        <v>174</v>
      </c>
      <c r="S21" s="1044" t="s">
        <v>106</v>
      </c>
      <c r="T21" s="1078" t="s">
        <v>68</v>
      </c>
      <c r="U21" s="724"/>
      <c r="V21" s="1123"/>
      <c r="W21" s="1123"/>
      <c r="X21" s="1044" t="s">
        <v>298</v>
      </c>
      <c r="Y21" s="1038" t="s">
        <v>70</v>
      </c>
      <c r="Z21" s="24"/>
      <c r="AA21" s="525"/>
      <c r="AB21" s="7"/>
      <c r="AC21" s="7"/>
      <c r="AD21" s="7"/>
      <c r="AE21" s="7"/>
      <c r="AF21" s="7"/>
      <c r="AG21" s="7"/>
      <c r="AH21" s="7"/>
    </row>
    <row r="22" spans="1:34" ht="10.5" customHeight="1">
      <c r="A22" s="523"/>
      <c r="B22" s="5"/>
      <c r="C22" s="70" t="s">
        <v>10</v>
      </c>
      <c r="D22" s="1102"/>
      <c r="E22" s="1082"/>
      <c r="F22" s="1042"/>
      <c r="G22" s="1098"/>
      <c r="H22" s="1042"/>
      <c r="I22" s="1039"/>
      <c r="J22" s="1045"/>
      <c r="K22" s="1036"/>
      <c r="L22" s="782"/>
      <c r="M22" s="662"/>
      <c r="N22" s="737"/>
      <c r="O22" s="1039"/>
      <c r="P22" s="1079"/>
      <c r="Q22" s="1259"/>
      <c r="R22" s="1042"/>
      <c r="S22" s="1194"/>
      <c r="T22" s="1079"/>
      <c r="U22" s="734"/>
      <c r="V22" s="1124"/>
      <c r="W22" s="1124"/>
      <c r="X22" s="1045"/>
      <c r="Y22" s="1039"/>
      <c r="Z22" s="19" t="s">
        <v>6</v>
      </c>
      <c r="AA22" s="522" t="s">
        <v>4</v>
      </c>
      <c r="AB22" s="7"/>
      <c r="AC22" s="7"/>
      <c r="AD22" s="7"/>
      <c r="AE22" s="7"/>
      <c r="AF22" s="7"/>
      <c r="AG22" s="7"/>
      <c r="AH22" s="7"/>
    </row>
    <row r="23" spans="1:34" ht="89.25" customHeight="1">
      <c r="A23" s="529"/>
      <c r="B23" s="4"/>
      <c r="C23" s="71"/>
      <c r="D23" s="1103"/>
      <c r="E23" s="1083"/>
      <c r="F23" s="1043"/>
      <c r="G23" s="1100"/>
      <c r="H23" s="1043"/>
      <c r="I23" s="1040"/>
      <c r="J23" s="1046"/>
      <c r="K23" s="1037"/>
      <c r="L23" s="739" t="s">
        <v>123</v>
      </c>
      <c r="M23" s="738" t="s">
        <v>271</v>
      </c>
      <c r="N23" s="738" t="s">
        <v>272</v>
      </c>
      <c r="O23" s="1040"/>
      <c r="P23" s="1080"/>
      <c r="Q23" s="1260"/>
      <c r="R23" s="1043"/>
      <c r="S23" s="1195"/>
      <c r="T23" s="1080"/>
      <c r="U23" s="735" t="s">
        <v>275</v>
      </c>
      <c r="V23" s="1125"/>
      <c r="W23" s="1125"/>
      <c r="X23" s="1046"/>
      <c r="Y23" s="1040"/>
      <c r="Z23" s="4" t="s">
        <v>7</v>
      </c>
      <c r="AA23" s="519" t="s">
        <v>5</v>
      </c>
      <c r="AB23" s="7"/>
      <c r="AC23" s="7"/>
      <c r="AD23" s="7"/>
      <c r="AE23" s="7"/>
      <c r="AF23" s="8"/>
      <c r="AG23" s="7"/>
      <c r="AH23" s="7"/>
    </row>
    <row r="24" spans="1:34" ht="11.25" customHeight="1">
      <c r="A24" s="64">
        <v>1</v>
      </c>
      <c r="B24" s="521">
        <v>2</v>
      </c>
      <c r="C24" s="72">
        <v>3</v>
      </c>
      <c r="D24" s="76">
        <v>4</v>
      </c>
      <c r="E24" s="80">
        <v>5</v>
      </c>
      <c r="F24" s="86">
        <v>6</v>
      </c>
      <c r="G24" s="76">
        <v>7</v>
      </c>
      <c r="H24" s="87">
        <v>8</v>
      </c>
      <c r="I24" s="80">
        <v>9</v>
      </c>
      <c r="J24" s="95">
        <v>10</v>
      </c>
      <c r="K24" s="96">
        <v>11</v>
      </c>
      <c r="L24" s="80">
        <v>12</v>
      </c>
      <c r="M24" s="80">
        <v>13</v>
      </c>
      <c r="N24" s="80">
        <v>14</v>
      </c>
      <c r="O24" s="80">
        <v>15</v>
      </c>
      <c r="P24" s="97">
        <v>16</v>
      </c>
      <c r="Q24" s="93">
        <v>17</v>
      </c>
      <c r="R24" s="96">
        <v>18</v>
      </c>
      <c r="S24" s="96">
        <v>19</v>
      </c>
      <c r="T24" s="98">
        <v>20</v>
      </c>
      <c r="U24" s="262">
        <v>21</v>
      </c>
      <c r="V24" s="96">
        <v>22</v>
      </c>
      <c r="W24" s="96">
        <v>23</v>
      </c>
      <c r="X24" s="81">
        <v>24</v>
      </c>
      <c r="Y24" s="96">
        <v>25</v>
      </c>
      <c r="Z24" s="35">
        <v>26</v>
      </c>
      <c r="AA24" s="520">
        <v>27</v>
      </c>
      <c r="AB24" s="7"/>
      <c r="AC24" s="7"/>
      <c r="AD24" s="7"/>
      <c r="AE24" s="7"/>
      <c r="AF24" s="8"/>
      <c r="AG24" s="7"/>
      <c r="AH24" s="7"/>
    </row>
    <row r="25" spans="1:34" ht="15.95" customHeight="1">
      <c r="A25" s="16" t="s">
        <v>18</v>
      </c>
      <c r="B25" s="221">
        <v>100</v>
      </c>
      <c r="C25" s="73"/>
      <c r="D25" s="781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99">
        <f>B25</f>
        <v>100</v>
      </c>
      <c r="K25" s="99">
        <f>B25</f>
        <v>100</v>
      </c>
      <c r="L25" s="99">
        <f>B25</f>
        <v>100</v>
      </c>
      <c r="M25" s="99">
        <f>B25</f>
        <v>100</v>
      </c>
      <c r="N25" s="99">
        <f>B25</f>
        <v>100</v>
      </c>
      <c r="O25" s="99">
        <f>B25</f>
        <v>100</v>
      </c>
      <c r="P25" s="109">
        <f>F25</f>
        <v>100</v>
      </c>
      <c r="Q25" s="99">
        <f>B25</f>
        <v>100</v>
      </c>
      <c r="R25" s="99">
        <f>B25</f>
        <v>100</v>
      </c>
      <c r="S25" s="99">
        <f>B25</f>
        <v>100</v>
      </c>
      <c r="T25" s="99">
        <f>B25</f>
        <v>100</v>
      </c>
      <c r="U25" s="436">
        <f>F25</f>
        <v>100</v>
      </c>
      <c r="V25" s="692">
        <f>B25</f>
        <v>100</v>
      </c>
      <c r="W25" s="99"/>
      <c r="X25" s="99">
        <f>B25</f>
        <v>100</v>
      </c>
      <c r="Y25" s="99">
        <f>B25</f>
        <v>100</v>
      </c>
      <c r="Z25" s="12" t="s">
        <v>66</v>
      </c>
      <c r="AA25" s="68" t="s">
        <v>64</v>
      </c>
      <c r="AB25" s="7"/>
      <c r="AC25" s="7"/>
      <c r="AD25" s="7"/>
      <c r="AE25" s="7"/>
      <c r="AF25" s="7"/>
      <c r="AG25" s="7"/>
    </row>
    <row r="26" spans="1:34" ht="15.95" customHeight="1" thickBot="1">
      <c r="A26" s="59" t="s">
        <v>19</v>
      </c>
      <c r="B26" s="60"/>
      <c r="C26" s="74"/>
      <c r="D26" s="663">
        <v>25</v>
      </c>
      <c r="E26" s="119">
        <f>D26*D25/B25</f>
        <v>25</v>
      </c>
      <c r="F26" s="91">
        <v>200</v>
      </c>
      <c r="G26" s="119">
        <f>F26*F25/B25</f>
        <v>200</v>
      </c>
      <c r="H26" s="91">
        <v>180</v>
      </c>
      <c r="I26" s="119">
        <f>H26*H25/B25</f>
        <v>180</v>
      </c>
      <c r="J26" s="119">
        <f>J70/B25*1000</f>
        <v>20</v>
      </c>
      <c r="K26" s="119">
        <f>K76/B25*1000</f>
        <v>30</v>
      </c>
      <c r="L26" s="119">
        <f>L50/B25*1000</f>
        <v>180</v>
      </c>
      <c r="M26" s="119">
        <v>50</v>
      </c>
      <c r="N26" s="119">
        <f>N44/B25/1.835*1000</f>
        <v>19.999999999999996</v>
      </c>
      <c r="O26" s="119">
        <v>180</v>
      </c>
      <c r="P26" s="111">
        <v>70</v>
      </c>
      <c r="Q26" s="119">
        <f>P26*P25/B25</f>
        <v>70</v>
      </c>
      <c r="R26" s="100">
        <v>180</v>
      </c>
      <c r="S26" s="119">
        <v>130</v>
      </c>
      <c r="T26" s="119">
        <f>T72/B25*1000</f>
        <v>40</v>
      </c>
      <c r="U26" s="437">
        <v>100</v>
      </c>
      <c r="V26" s="119">
        <f>U26*U25/B25</f>
        <v>100</v>
      </c>
      <c r="W26" s="119"/>
      <c r="X26" s="119">
        <f>X78/B25/1.028*1000</f>
        <v>179.96108949416342</v>
      </c>
      <c r="Y26" s="119">
        <f>Y74/B25*1000</f>
        <v>20</v>
      </c>
      <c r="Z26" s="61"/>
      <c r="AA26" s="69"/>
      <c r="AB26" s="7"/>
      <c r="AC26" s="7"/>
      <c r="AD26" s="7"/>
      <c r="AE26" s="7"/>
      <c r="AF26" s="7"/>
      <c r="AG26" s="7"/>
    </row>
    <row r="27" spans="1:34" ht="15" customHeight="1" thickTop="1">
      <c r="A27" s="133"/>
      <c r="B27" s="5" t="s">
        <v>65</v>
      </c>
      <c r="C27" s="77" t="s">
        <v>72</v>
      </c>
      <c r="D27" s="293"/>
      <c r="E27" s="88"/>
      <c r="F27" s="92"/>
      <c r="G27" s="88"/>
      <c r="H27" s="107"/>
      <c r="I27" s="597"/>
      <c r="J27" s="88"/>
      <c r="K27" s="88"/>
      <c r="L27" s="88"/>
      <c r="M27" s="88"/>
      <c r="N27" s="88"/>
      <c r="O27" s="88"/>
      <c r="P27" s="108">
        <f>55.5/70*P26</f>
        <v>55.5</v>
      </c>
      <c r="Q27" s="129">
        <f>P27/P26*Q26</f>
        <v>55.5</v>
      </c>
      <c r="R27" s="88"/>
      <c r="S27" s="88"/>
      <c r="T27" s="88"/>
      <c r="U27" s="263"/>
      <c r="V27" s="88"/>
      <c r="W27" s="88"/>
      <c r="X27" s="88"/>
      <c r="Y27" s="88"/>
      <c r="Z27" s="78"/>
      <c r="AA27" s="79"/>
      <c r="AB27" s="7"/>
      <c r="AC27" s="7"/>
      <c r="AD27" s="7"/>
      <c r="AE27" s="7"/>
      <c r="AF27" s="7"/>
      <c r="AG27" s="7"/>
    </row>
    <row r="28" spans="1:34" ht="15.75" customHeight="1" thickBot="1">
      <c r="A28" s="346" t="s">
        <v>103</v>
      </c>
      <c r="B28" s="347">
        <v>288</v>
      </c>
      <c r="C28" s="348" t="s">
        <v>73</v>
      </c>
      <c r="D28" s="423"/>
      <c r="E28" s="350"/>
      <c r="F28" s="363"/>
      <c r="G28" s="350"/>
      <c r="H28" s="349"/>
      <c r="I28" s="350"/>
      <c r="J28" s="350"/>
      <c r="K28" s="350"/>
      <c r="L28" s="350"/>
      <c r="M28" s="350"/>
      <c r="N28" s="350"/>
      <c r="O28" s="350"/>
      <c r="P28" s="349">
        <f>P27*P25/1000</f>
        <v>5.55</v>
      </c>
      <c r="Q28" s="341">
        <f>ROUND(P28,2)</f>
        <v>5.55</v>
      </c>
      <c r="R28" s="350"/>
      <c r="S28" s="350"/>
      <c r="T28" s="350"/>
      <c r="U28" s="360"/>
      <c r="V28" s="350"/>
      <c r="W28" s="350"/>
      <c r="X28" s="350"/>
      <c r="Y28" s="350"/>
      <c r="Z28" s="343">
        <f>ROUND(E28+G28+I28+J28+K28+L28+M28+N28+O28+Q28+R28+S28+T28+V28+W28+X28+Y28,2)</f>
        <v>5.55</v>
      </c>
      <c r="AA28" s="368">
        <f>Z28*B28</f>
        <v>1598.3999999999999</v>
      </c>
      <c r="AB28" s="7"/>
      <c r="AC28" s="7"/>
      <c r="AD28" s="223">
        <f>Z28+Z123</f>
        <v>10.25</v>
      </c>
      <c r="AE28" s="7" t="str">
        <f>A28</f>
        <v>Фарш гов.</v>
      </c>
      <c r="AF28" s="7"/>
      <c r="AG28" s="7"/>
    </row>
    <row r="29" spans="1:34" ht="15" customHeight="1" thickTop="1">
      <c r="A29" s="133"/>
      <c r="B29" s="309"/>
      <c r="C29" s="310" t="s">
        <v>72</v>
      </c>
      <c r="D29" s="430">
        <v>5</v>
      </c>
      <c r="E29" s="129">
        <f>D29/D26*E26</f>
        <v>5</v>
      </c>
      <c r="F29" s="430">
        <v>2</v>
      </c>
      <c r="G29" s="129">
        <f>F29/F26*G26</f>
        <v>2</v>
      </c>
      <c r="H29" s="430"/>
      <c r="I29" s="129"/>
      <c r="J29" s="88"/>
      <c r="K29" s="88"/>
      <c r="L29" s="500"/>
      <c r="M29" s="500"/>
      <c r="N29" s="129"/>
      <c r="O29" s="131"/>
      <c r="P29" s="108"/>
      <c r="Q29" s="129"/>
      <c r="R29" s="88"/>
      <c r="S29" s="131">
        <v>2.2999999999999998</v>
      </c>
      <c r="T29" s="88"/>
      <c r="U29" s="430">
        <f>5/100*U26</f>
        <v>5</v>
      </c>
      <c r="V29" s="129">
        <f>U29/U26*V26</f>
        <v>5</v>
      </c>
      <c r="W29" s="129"/>
      <c r="X29" s="88"/>
      <c r="Y29" s="88"/>
      <c r="Z29" s="210"/>
      <c r="AA29" s="311"/>
      <c r="AB29" s="7"/>
      <c r="AC29" s="7"/>
      <c r="AD29" s="224"/>
      <c r="AE29" s="7"/>
      <c r="AF29" s="7"/>
      <c r="AG29" s="7"/>
      <c r="AH29" s="624"/>
    </row>
    <row r="30" spans="1:34" ht="16.5" customHeight="1" thickBot="1">
      <c r="A30" s="346" t="s">
        <v>79</v>
      </c>
      <c r="B30" s="347">
        <v>595</v>
      </c>
      <c r="C30" s="348" t="s">
        <v>73</v>
      </c>
      <c r="D30" s="363">
        <f>D29*D25/1000</f>
        <v>0.5</v>
      </c>
      <c r="E30" s="341">
        <f>ROUND(D30,2)</f>
        <v>0.5</v>
      </c>
      <c r="F30" s="363">
        <f>F29*F25/1000</f>
        <v>0.2</v>
      </c>
      <c r="G30" s="341">
        <f>ROUND(F30,2)</f>
        <v>0.2</v>
      </c>
      <c r="H30" s="363"/>
      <c r="I30" s="350"/>
      <c r="J30" s="350"/>
      <c r="K30" s="350"/>
      <c r="L30" s="501"/>
      <c r="M30" s="501"/>
      <c r="N30" s="350"/>
      <c r="O30" s="350">
        <f>ROUND(O29*B25/1000,2)</f>
        <v>0</v>
      </c>
      <c r="P30" s="349"/>
      <c r="Q30" s="350"/>
      <c r="R30" s="350"/>
      <c r="S30" s="341">
        <f>ROUND(S29*G25/1000,2)</f>
        <v>0.23</v>
      </c>
      <c r="T30" s="350"/>
      <c r="U30" s="363">
        <f>U29*U25/1000</f>
        <v>0.5</v>
      </c>
      <c r="V30" s="341">
        <f>ROUND(U30,2)</f>
        <v>0.5</v>
      </c>
      <c r="W30" s="341">
        <f>W29*B25/1000</f>
        <v>0</v>
      </c>
      <c r="X30" s="350"/>
      <c r="Y30" s="350"/>
      <c r="Z30" s="343">
        <f>ROUND(E30+G30+I30+J30+K30+L30+M30+N30+O30+Q30+R30+S30+T30+V30+W30+X30+Y30,2)</f>
        <v>1.43</v>
      </c>
      <c r="AA30" s="344">
        <f>Z30*B30</f>
        <v>850.84999999999991</v>
      </c>
      <c r="AB30" s="7"/>
      <c r="AC30" s="7"/>
      <c r="AD30" s="223">
        <f>Z30+Z125</f>
        <v>2.6799999999999997</v>
      </c>
      <c r="AE30" s="7" t="str">
        <f>A30</f>
        <v>Масло слив.</v>
      </c>
      <c r="AF30" s="7"/>
      <c r="AG30" s="7"/>
      <c r="AH30" s="7"/>
    </row>
    <row r="31" spans="1:34" ht="15" customHeight="1" thickTop="1">
      <c r="A31" s="133"/>
      <c r="B31" s="309"/>
      <c r="C31" s="310" t="s">
        <v>72</v>
      </c>
      <c r="D31" s="184"/>
      <c r="E31" s="88"/>
      <c r="F31" s="107"/>
      <c r="G31" s="88"/>
      <c r="H31" s="108"/>
      <c r="I31" s="88"/>
      <c r="J31" s="88"/>
      <c r="K31" s="88"/>
      <c r="L31" s="131"/>
      <c r="M31" s="131"/>
      <c r="N31" s="131"/>
      <c r="O31" s="131">
        <v>1.8</v>
      </c>
      <c r="P31" s="108">
        <f>3.5/70*P26</f>
        <v>3.5</v>
      </c>
      <c r="Q31" s="129">
        <f>P31/P26*Q26</f>
        <v>3.5</v>
      </c>
      <c r="R31" s="88"/>
      <c r="S31" s="131">
        <v>3.9</v>
      </c>
      <c r="T31" s="88"/>
      <c r="U31" s="430"/>
      <c r="V31" s="129"/>
      <c r="W31" s="129"/>
      <c r="X31" s="88"/>
      <c r="Y31" s="88"/>
      <c r="Z31" s="210"/>
      <c r="AA31" s="311"/>
      <c r="AB31" s="7"/>
      <c r="AC31" s="7"/>
      <c r="AD31" s="224"/>
      <c r="AE31" s="7"/>
      <c r="AF31" s="7"/>
      <c r="AG31" s="7"/>
      <c r="AH31" s="7"/>
    </row>
    <row r="32" spans="1:34" ht="15.75" customHeight="1" thickBot="1">
      <c r="A32" s="346" t="s">
        <v>78</v>
      </c>
      <c r="B32" s="347">
        <v>104.42</v>
      </c>
      <c r="C32" s="348" t="s">
        <v>73</v>
      </c>
      <c r="D32" s="423"/>
      <c r="E32" s="350"/>
      <c r="F32" s="363"/>
      <c r="G32" s="350"/>
      <c r="H32" s="349"/>
      <c r="I32" s="350"/>
      <c r="J32" s="350"/>
      <c r="K32" s="350"/>
      <c r="L32" s="350"/>
      <c r="M32" s="341"/>
      <c r="N32" s="350"/>
      <c r="O32" s="341">
        <f>O31*B25/1000</f>
        <v>0.18</v>
      </c>
      <c r="P32" s="349">
        <f>P31*P25/1000</f>
        <v>0.35</v>
      </c>
      <c r="Q32" s="341">
        <f>P32</f>
        <v>0.35</v>
      </c>
      <c r="R32" s="350"/>
      <c r="S32" s="339">
        <f>S31*B25/1000</f>
        <v>0.39</v>
      </c>
      <c r="T32" s="350"/>
      <c r="U32" s="363"/>
      <c r="V32" s="341"/>
      <c r="W32" s="341"/>
      <c r="X32" s="350"/>
      <c r="Y32" s="350"/>
      <c r="Z32" s="343">
        <f>ROUND(E32+G32+I32+J32+K32+L32+M32+N32+O32+Q32+R32+S32+T32+V32+W32+X32+Y32,2)</f>
        <v>0.92</v>
      </c>
      <c r="AA32" s="344">
        <f>Z32*B32</f>
        <v>96.066400000000002</v>
      </c>
      <c r="AB32" s="7"/>
      <c r="AC32" s="7"/>
      <c r="AD32" s="223">
        <f>Z32+Z127</f>
        <v>1.71</v>
      </c>
      <c r="AE32" s="7" t="str">
        <f>A32</f>
        <v>Масло раст.</v>
      </c>
      <c r="AF32" s="7"/>
      <c r="AG32" s="7"/>
      <c r="AH32" s="7"/>
    </row>
    <row r="33" spans="1:34" ht="14.25" customHeight="1" thickTop="1">
      <c r="A33" s="133"/>
      <c r="B33" s="309"/>
      <c r="C33" s="310" t="s">
        <v>72</v>
      </c>
      <c r="D33" s="184"/>
      <c r="E33" s="88"/>
      <c r="F33" s="107">
        <v>140</v>
      </c>
      <c r="G33" s="129">
        <f>F33/F26*G26</f>
        <v>140</v>
      </c>
      <c r="H33" s="430">
        <v>90</v>
      </c>
      <c r="I33" s="129">
        <f>H33/H26*I26</f>
        <v>90</v>
      </c>
      <c r="J33" s="129"/>
      <c r="K33" s="88"/>
      <c r="L33" s="500"/>
      <c r="M33" s="500"/>
      <c r="N33" s="129"/>
      <c r="O33" s="131"/>
      <c r="P33" s="108">
        <f>10.5/70*P26</f>
        <v>10.5</v>
      </c>
      <c r="Q33" s="129">
        <f>P33/P26*Q26</f>
        <v>10.5</v>
      </c>
      <c r="R33" s="88"/>
      <c r="S33" s="88"/>
      <c r="T33" s="88"/>
      <c r="U33" s="430">
        <f>29/100*U26</f>
        <v>28.999999999999996</v>
      </c>
      <c r="V33" s="129">
        <f>U33/U26*V26</f>
        <v>28.999999999999996</v>
      </c>
      <c r="W33" s="129"/>
      <c r="X33" s="114"/>
      <c r="Y33" s="88"/>
      <c r="Z33" s="210"/>
      <c r="AA33" s="311"/>
      <c r="AB33" s="7"/>
      <c r="AC33" s="7"/>
      <c r="AD33" s="224"/>
      <c r="AE33" s="7"/>
      <c r="AF33" s="7"/>
      <c r="AG33" s="7"/>
      <c r="AH33" s="7"/>
    </row>
    <row r="34" spans="1:34" ht="15.95" customHeight="1" thickBot="1">
      <c r="A34" s="346" t="s">
        <v>81</v>
      </c>
      <c r="B34" s="347">
        <v>67.8</v>
      </c>
      <c r="C34" s="348" t="s">
        <v>73</v>
      </c>
      <c r="D34" s="423"/>
      <c r="E34" s="350"/>
      <c r="F34" s="363">
        <f>F33*F25/1000</f>
        <v>14</v>
      </c>
      <c r="G34" s="365">
        <f>F34</f>
        <v>14</v>
      </c>
      <c r="H34" s="363">
        <f>H33*H25/1000</f>
        <v>9</v>
      </c>
      <c r="I34" s="365">
        <f>H34</f>
        <v>9</v>
      </c>
      <c r="J34" s="590"/>
      <c r="K34" s="350"/>
      <c r="L34" s="501"/>
      <c r="M34" s="501"/>
      <c r="N34" s="421"/>
      <c r="O34" s="350"/>
      <c r="P34" s="349">
        <f>P33*P25/1000</f>
        <v>1.05</v>
      </c>
      <c r="Q34" s="366">
        <f>P34</f>
        <v>1.05</v>
      </c>
      <c r="R34" s="350"/>
      <c r="S34" s="350"/>
      <c r="T34" s="350"/>
      <c r="U34" s="363">
        <f>U33*U25/1000</f>
        <v>2.8999999999999995</v>
      </c>
      <c r="V34" s="341">
        <f>ROUND(U34,2)</f>
        <v>2.9</v>
      </c>
      <c r="W34" s="350"/>
      <c r="X34" s="618"/>
      <c r="Y34" s="350"/>
      <c r="Z34" s="356">
        <f>ROUND(E34+G34+I34+J34+K34+L34+M34+N34+O34+Q34+R34+S34+T34+V34+W34+X34+Y34,3)</f>
        <v>26.95</v>
      </c>
      <c r="AA34" s="344">
        <f>Z34*B34</f>
        <v>1827.2099999999998</v>
      </c>
      <c r="AB34" s="7"/>
      <c r="AC34" s="7"/>
      <c r="AD34" s="225">
        <f>Z34+Z129</f>
        <v>48.15</v>
      </c>
      <c r="AE34" s="7" t="str">
        <f>A34</f>
        <v>Молоко св.</v>
      </c>
      <c r="AF34" s="7"/>
      <c r="AG34" s="7"/>
      <c r="AH34" s="7"/>
    </row>
    <row r="35" spans="1:34" ht="15" customHeight="1" thickTop="1">
      <c r="A35" s="133"/>
      <c r="B35" s="309"/>
      <c r="C35" s="310" t="s">
        <v>72</v>
      </c>
      <c r="D35" s="184"/>
      <c r="E35" s="88"/>
      <c r="F35" s="430">
        <v>12</v>
      </c>
      <c r="G35" s="129">
        <f>F35/F26*G26</f>
        <v>12</v>
      </c>
      <c r="H35" s="108"/>
      <c r="I35" s="88"/>
      <c r="J35" s="244"/>
      <c r="K35" s="88"/>
      <c r="L35" s="88"/>
      <c r="M35" s="88"/>
      <c r="N35" s="88"/>
      <c r="O35" s="129"/>
      <c r="P35" s="108"/>
      <c r="Q35" s="88"/>
      <c r="R35" s="88"/>
      <c r="S35" s="88"/>
      <c r="T35" s="88"/>
      <c r="U35" s="263"/>
      <c r="V35" s="129"/>
      <c r="W35" s="129"/>
      <c r="X35" s="88"/>
      <c r="Y35" s="88"/>
      <c r="Z35" s="210"/>
      <c r="AA35" s="311"/>
      <c r="AB35" s="7"/>
      <c r="AC35" s="7"/>
      <c r="AD35" s="224"/>
      <c r="AE35" s="7"/>
      <c r="AF35" s="7"/>
      <c r="AG35" s="7"/>
      <c r="AH35" s="7"/>
    </row>
    <row r="36" spans="1:34" ht="15.95" customHeight="1" thickBot="1">
      <c r="A36" s="346" t="s">
        <v>305</v>
      </c>
      <c r="B36" s="347">
        <v>81.92</v>
      </c>
      <c r="C36" s="348" t="s">
        <v>73</v>
      </c>
      <c r="D36" s="423"/>
      <c r="E36" s="350"/>
      <c r="F36" s="363">
        <f>F35*F25/1000</f>
        <v>1.2</v>
      </c>
      <c r="G36" s="341">
        <f>F36</f>
        <v>1.2</v>
      </c>
      <c r="H36" s="349"/>
      <c r="I36" s="350"/>
      <c r="J36" s="350"/>
      <c r="K36" s="350"/>
      <c r="L36" s="350"/>
      <c r="M36" s="350"/>
      <c r="N36" s="350"/>
      <c r="O36" s="341"/>
      <c r="P36" s="349"/>
      <c r="Q36" s="350"/>
      <c r="R36" s="350"/>
      <c r="S36" s="350"/>
      <c r="T36" s="350"/>
      <c r="U36" s="360"/>
      <c r="V36" s="350"/>
      <c r="W36" s="350"/>
      <c r="X36" s="350"/>
      <c r="Y36" s="350"/>
      <c r="Z36" s="343">
        <f>ROUND(E36+G36+I36+J36+K36+L36+M36+N36+O36+Q36+R36+S36+T36+V36+W36+X36+Y36,2)</f>
        <v>1.2</v>
      </c>
      <c r="AA36" s="344">
        <f>Z36*B36</f>
        <v>98.304000000000002</v>
      </c>
      <c r="AB36" s="7"/>
      <c r="AC36" s="7"/>
      <c r="AD36" s="225">
        <f>Z36+Z131</f>
        <v>2.1</v>
      </c>
      <c r="AE36" s="7" t="str">
        <f>A36</f>
        <v>Крупа рис</v>
      </c>
      <c r="AF36" s="7"/>
      <c r="AG36" s="7"/>
      <c r="AH36" s="7"/>
    </row>
    <row r="37" spans="1:34" ht="15" customHeight="1" thickTop="1">
      <c r="A37" s="133"/>
      <c r="B37" s="309"/>
      <c r="C37" s="310" t="s">
        <v>72</v>
      </c>
      <c r="D37" s="184"/>
      <c r="E37" s="88"/>
      <c r="F37" s="430"/>
      <c r="G37" s="129"/>
      <c r="H37" s="108"/>
      <c r="I37" s="88"/>
      <c r="J37" s="88"/>
      <c r="K37" s="88"/>
      <c r="L37" s="88"/>
      <c r="M37" s="88"/>
      <c r="N37" s="88"/>
      <c r="O37" s="88"/>
      <c r="P37" s="430"/>
      <c r="Q37" s="129"/>
      <c r="R37" s="88"/>
      <c r="S37" s="88"/>
      <c r="T37" s="88"/>
      <c r="U37" s="430">
        <f>75/100*U26</f>
        <v>75</v>
      </c>
      <c r="V37" s="129">
        <f>U37/U26*V26</f>
        <v>75</v>
      </c>
      <c r="W37" s="129"/>
      <c r="X37" s="88"/>
      <c r="Y37" s="88"/>
      <c r="Z37" s="210"/>
      <c r="AA37" s="311"/>
      <c r="AB37" s="7"/>
      <c r="AC37" s="7"/>
      <c r="AD37" s="224"/>
      <c r="AE37" s="7"/>
      <c r="AF37" s="7"/>
      <c r="AG37" s="7"/>
      <c r="AH37" s="7"/>
    </row>
    <row r="38" spans="1:34" ht="16.5" customHeight="1" thickBot="1">
      <c r="A38" s="346" t="s">
        <v>22</v>
      </c>
      <c r="B38" s="347">
        <v>10</v>
      </c>
      <c r="C38" s="348" t="s">
        <v>74</v>
      </c>
      <c r="D38" s="423"/>
      <c r="E38" s="350"/>
      <c r="F38" s="530"/>
      <c r="G38" s="386"/>
      <c r="H38" s="349"/>
      <c r="I38" s="350"/>
      <c r="J38" s="350"/>
      <c r="K38" s="350"/>
      <c r="L38" s="350"/>
      <c r="M38" s="350"/>
      <c r="N38" s="350"/>
      <c r="O38" s="350"/>
      <c r="P38" s="530"/>
      <c r="Q38" s="386"/>
      <c r="R38" s="350"/>
      <c r="S38" s="350"/>
      <c r="T38" s="350"/>
      <c r="U38" s="530">
        <f>ROUND(U37*U25/48,0)</f>
        <v>156</v>
      </c>
      <c r="V38" s="470">
        <f>U38</f>
        <v>156</v>
      </c>
      <c r="W38" s="341"/>
      <c r="X38" s="350"/>
      <c r="Y38" s="350"/>
      <c r="Z38" s="472">
        <f>ROUND(E38+G38+I38+J38+K38+L38+M38+N38+O38+Q38+R38+S38+T38+V38+W38+X38+Y38,0)</f>
        <v>156</v>
      </c>
      <c r="AA38" s="344">
        <f>Z38*B38</f>
        <v>1560</v>
      </c>
      <c r="AB38" s="7"/>
      <c r="AC38" s="7"/>
      <c r="AD38" s="475">
        <f>Z38+Z133</f>
        <v>281</v>
      </c>
      <c r="AE38" s="7" t="str">
        <f>A38</f>
        <v>Яйцо</v>
      </c>
      <c r="AF38" s="7"/>
      <c r="AG38" s="7"/>
      <c r="AH38" s="7"/>
    </row>
    <row r="39" spans="1:34" ht="15" customHeight="1" thickTop="1">
      <c r="A39" s="133"/>
      <c r="B39" s="309"/>
      <c r="C39" s="310" t="s">
        <v>72</v>
      </c>
      <c r="D39" s="184"/>
      <c r="E39" s="88"/>
      <c r="F39" s="430"/>
      <c r="G39" s="129"/>
      <c r="H39" s="430"/>
      <c r="I39" s="113"/>
      <c r="J39" s="88"/>
      <c r="K39" s="88"/>
      <c r="L39" s="500"/>
      <c r="M39" s="500"/>
      <c r="N39" s="129"/>
      <c r="O39" s="88"/>
      <c r="P39" s="108">
        <f>7/70*P26</f>
        <v>7</v>
      </c>
      <c r="Q39" s="129">
        <f>P39/P26*Q26</f>
        <v>7</v>
      </c>
      <c r="R39" s="88"/>
      <c r="S39" s="131">
        <v>1.8</v>
      </c>
      <c r="T39" s="88"/>
      <c r="U39" s="430"/>
      <c r="V39" s="129"/>
      <c r="W39" s="129"/>
      <c r="X39" s="88"/>
      <c r="Y39" s="88"/>
      <c r="Z39" s="210"/>
      <c r="AA39" s="311"/>
      <c r="AB39" s="7"/>
      <c r="AC39" s="7"/>
      <c r="AD39" s="224"/>
      <c r="AE39" s="7"/>
      <c r="AF39" s="7"/>
      <c r="AG39" s="7"/>
      <c r="AH39" s="7"/>
    </row>
    <row r="40" spans="1:34" ht="18.2" customHeight="1" thickBot="1">
      <c r="A40" s="346" t="s">
        <v>76</v>
      </c>
      <c r="B40" s="347">
        <v>29.08</v>
      </c>
      <c r="C40" s="348" t="s">
        <v>73</v>
      </c>
      <c r="D40" s="423"/>
      <c r="E40" s="350"/>
      <c r="F40" s="363"/>
      <c r="G40" s="350"/>
      <c r="H40" s="363"/>
      <c r="I40" s="350"/>
      <c r="J40" s="350"/>
      <c r="K40" s="350"/>
      <c r="L40" s="501"/>
      <c r="M40" s="501"/>
      <c r="N40" s="415"/>
      <c r="O40" s="350"/>
      <c r="P40" s="349">
        <f>P39*P25/1000</f>
        <v>0.7</v>
      </c>
      <c r="Q40" s="341">
        <f>P40</f>
        <v>0.7</v>
      </c>
      <c r="R40" s="350"/>
      <c r="S40" s="339">
        <f>S39*B25/1000</f>
        <v>0.18</v>
      </c>
      <c r="T40" s="350"/>
      <c r="U40" s="363"/>
      <c r="V40" s="341"/>
      <c r="W40" s="341"/>
      <c r="X40" s="350"/>
      <c r="Y40" s="350"/>
      <c r="Z40" s="343">
        <f>ROUND(E40+G40+I40+J40+K40+L40+M40+N40+O40+Q40+R40+S40+T40+V40+W40+X40+Y40,2)</f>
        <v>0.88</v>
      </c>
      <c r="AA40" s="344">
        <f>Z40*B40</f>
        <v>25.590399999999999</v>
      </c>
      <c r="AB40" s="7"/>
      <c r="AC40" s="7"/>
      <c r="AD40" s="223">
        <f>Z40+Z135</f>
        <v>1.63</v>
      </c>
      <c r="AE40" s="7" t="str">
        <f>A40</f>
        <v>Мука пшен.</v>
      </c>
      <c r="AF40" s="7"/>
      <c r="AG40" s="7"/>
      <c r="AH40" s="7"/>
    </row>
    <row r="41" spans="1:34" ht="15" customHeight="1" thickTop="1">
      <c r="A41" s="133"/>
      <c r="B41" s="309"/>
      <c r="C41" s="310" t="s">
        <v>72</v>
      </c>
      <c r="D41" s="184"/>
      <c r="E41" s="88"/>
      <c r="F41" s="430"/>
      <c r="G41" s="129"/>
      <c r="H41" s="108"/>
      <c r="I41" s="88"/>
      <c r="J41" s="88"/>
      <c r="K41" s="88"/>
      <c r="L41" s="131"/>
      <c r="M41" s="131"/>
      <c r="N41" s="88"/>
      <c r="O41" s="88"/>
      <c r="P41" s="108"/>
      <c r="Q41" s="129"/>
      <c r="R41" s="88"/>
      <c r="S41" s="88"/>
      <c r="T41" s="88"/>
      <c r="U41" s="430"/>
      <c r="V41" s="129"/>
      <c r="W41" s="129"/>
      <c r="X41" s="88"/>
      <c r="Y41" s="88"/>
      <c r="Z41" s="210"/>
      <c r="AA41" s="311"/>
      <c r="AB41" s="7"/>
      <c r="AC41" s="7"/>
      <c r="AD41" s="224"/>
      <c r="AE41" s="7"/>
      <c r="AF41" s="7"/>
      <c r="AG41" s="7"/>
      <c r="AH41" s="7"/>
    </row>
    <row r="42" spans="1:34" ht="15.75" customHeight="1" thickBot="1">
      <c r="A42" s="346"/>
      <c r="B42" s="347"/>
      <c r="C42" s="348" t="s">
        <v>73</v>
      </c>
      <c r="D42" s="423"/>
      <c r="E42" s="350"/>
      <c r="F42" s="363"/>
      <c r="G42" s="404"/>
      <c r="H42" s="349"/>
      <c r="I42" s="350"/>
      <c r="J42" s="350"/>
      <c r="K42" s="350"/>
      <c r="L42" s="350"/>
      <c r="M42" s="350"/>
      <c r="N42" s="350"/>
      <c r="O42" s="350"/>
      <c r="P42" s="349"/>
      <c r="Q42" s="341"/>
      <c r="R42" s="350"/>
      <c r="S42" s="350"/>
      <c r="T42" s="350"/>
      <c r="U42" s="363"/>
      <c r="V42" s="341"/>
      <c r="W42" s="341"/>
      <c r="X42" s="350"/>
      <c r="Y42" s="350"/>
      <c r="Z42" s="343">
        <f>ROUND(E42+G42+I42+J42+K42+L42+M42+N42+O42+Q42+R42+S42+T42+V42+W42+X42+Y42,2)</f>
        <v>0</v>
      </c>
      <c r="AA42" s="344">
        <f>Z42*B42</f>
        <v>0</v>
      </c>
      <c r="AB42" s="7"/>
      <c r="AC42" s="7"/>
      <c r="AD42" s="223">
        <f>Z42+Z137</f>
        <v>0</v>
      </c>
      <c r="AE42" s="7">
        <f>A42</f>
        <v>0</v>
      </c>
      <c r="AF42" s="7"/>
      <c r="AG42" s="7"/>
      <c r="AH42" s="7"/>
    </row>
    <row r="43" spans="1:34" ht="15" customHeight="1" thickTop="1">
      <c r="A43" s="133"/>
      <c r="B43" s="309"/>
      <c r="C43" s="310" t="s">
        <v>72</v>
      </c>
      <c r="D43" s="184"/>
      <c r="E43" s="88"/>
      <c r="F43" s="177"/>
      <c r="G43" s="128"/>
      <c r="H43" s="108"/>
      <c r="I43" s="88"/>
      <c r="J43" s="88"/>
      <c r="K43" s="88"/>
      <c r="L43" s="88"/>
      <c r="M43" s="113"/>
      <c r="N43" s="113">
        <f>N44/B25*1000</f>
        <v>36.699999999999996</v>
      </c>
      <c r="O43" s="88"/>
      <c r="P43" s="108"/>
      <c r="Q43" s="88"/>
      <c r="R43" s="88"/>
      <c r="S43" s="88"/>
      <c r="T43" s="88"/>
      <c r="U43" s="430"/>
      <c r="V43" s="129"/>
      <c r="W43" s="113"/>
      <c r="X43" s="88"/>
      <c r="Y43" s="88"/>
      <c r="Z43" s="210"/>
      <c r="AA43" s="311"/>
      <c r="AB43" s="7"/>
      <c r="AC43" s="7"/>
      <c r="AD43" s="224"/>
      <c r="AE43" s="7"/>
      <c r="AF43" s="7"/>
      <c r="AG43" s="7"/>
      <c r="AH43" s="7"/>
    </row>
    <row r="44" spans="1:34" ht="15.75" customHeight="1" thickBot="1">
      <c r="A44" s="634" t="s">
        <v>183</v>
      </c>
      <c r="B44" s="347">
        <v>137.69999999999999</v>
      </c>
      <c r="C44" s="348" t="s">
        <v>73</v>
      </c>
      <c r="D44" s="423"/>
      <c r="E44" s="350"/>
      <c r="F44" s="349"/>
      <c r="G44" s="340"/>
      <c r="H44" s="349"/>
      <c r="I44" s="350"/>
      <c r="J44" s="350"/>
      <c r="K44" s="350"/>
      <c r="L44" s="350"/>
      <c r="M44" s="341"/>
      <c r="N44" s="341">
        <v>3.67</v>
      </c>
      <c r="O44" s="350"/>
      <c r="P44" s="349"/>
      <c r="Q44" s="350"/>
      <c r="R44" s="350"/>
      <c r="S44" s="350"/>
      <c r="T44" s="350"/>
      <c r="U44" s="363"/>
      <c r="V44" s="341"/>
      <c r="W44" s="341"/>
      <c r="X44" s="350"/>
      <c r="Y44" s="350"/>
      <c r="Z44" s="343">
        <f>ROUND(E44+G44+I44+J44+K44+L44+M44+N44+O44+Q44+R44+S44+T44+V44+W44+X44+Y44,2)</f>
        <v>3.67</v>
      </c>
      <c r="AA44" s="344">
        <f>Z44*B44</f>
        <v>505.35899999999992</v>
      </c>
      <c r="AB44" s="7"/>
      <c r="AC44" s="7"/>
      <c r="AD44" s="223">
        <f>Z44+Z139</f>
        <v>7.34</v>
      </c>
      <c r="AE44" s="7" t="str">
        <f>A44</f>
        <v>Минтай с/м потр.</v>
      </c>
      <c r="AF44" s="7"/>
      <c r="AG44" s="7"/>
      <c r="AH44" s="7"/>
    </row>
    <row r="45" spans="1:34" ht="15" customHeight="1" thickTop="1">
      <c r="A45" s="133"/>
      <c r="B45" s="309"/>
      <c r="C45" s="310" t="s">
        <v>72</v>
      </c>
      <c r="D45" s="184"/>
      <c r="E45" s="88"/>
      <c r="F45" s="430">
        <v>1.6</v>
      </c>
      <c r="G45" s="129">
        <f>F45/F26*G26</f>
        <v>1.6</v>
      </c>
      <c r="H45" s="430">
        <v>7</v>
      </c>
      <c r="I45" s="129">
        <f>H45/H26*I26</f>
        <v>7</v>
      </c>
      <c r="J45" s="129"/>
      <c r="K45" s="184"/>
      <c r="L45" s="500"/>
      <c r="M45" s="131">
        <v>2.5</v>
      </c>
      <c r="N45" s="129"/>
      <c r="O45" s="130"/>
      <c r="P45" s="108"/>
      <c r="Q45" s="88"/>
      <c r="R45" s="131">
        <v>10</v>
      </c>
      <c r="S45" s="131">
        <v>0.4</v>
      </c>
      <c r="T45" s="88"/>
      <c r="U45" s="430"/>
      <c r="V45" s="129"/>
      <c r="W45" s="129"/>
      <c r="X45" s="131"/>
      <c r="Y45" s="88"/>
      <c r="Z45" s="210"/>
      <c r="AA45" s="311"/>
      <c r="AB45" s="7"/>
      <c r="AC45" s="7"/>
      <c r="AD45" s="224"/>
      <c r="AE45" s="7"/>
      <c r="AF45" s="7"/>
      <c r="AG45" s="7"/>
      <c r="AH45" s="7"/>
    </row>
    <row r="46" spans="1:34" ht="16.5" customHeight="1" thickBot="1">
      <c r="A46" s="346" t="s">
        <v>77</v>
      </c>
      <c r="B46" s="347">
        <v>62.77</v>
      </c>
      <c r="C46" s="348" t="s">
        <v>73</v>
      </c>
      <c r="D46" s="423"/>
      <c r="E46" s="350"/>
      <c r="F46" s="363">
        <f>F45*F25/1000</f>
        <v>0.16</v>
      </c>
      <c r="G46" s="341">
        <f>ROUND(F46,2)</f>
        <v>0.16</v>
      </c>
      <c r="H46" s="363">
        <f>H45*H25/1000</f>
        <v>0.7</v>
      </c>
      <c r="I46" s="341">
        <f>ROUND(H46,2)</f>
        <v>0.7</v>
      </c>
      <c r="J46" s="404"/>
      <c r="K46" s="350"/>
      <c r="L46" s="501"/>
      <c r="M46" s="341">
        <f>M45*B25/1000</f>
        <v>0.25</v>
      </c>
      <c r="N46" s="350"/>
      <c r="O46" s="340"/>
      <c r="P46" s="349"/>
      <c r="Q46" s="350"/>
      <c r="R46" s="341">
        <f>ROUND(R45*B25/1000,2)</f>
        <v>1</v>
      </c>
      <c r="S46" s="339">
        <f>S45*B25/1000</f>
        <v>0.04</v>
      </c>
      <c r="T46" s="350"/>
      <c r="U46" s="363"/>
      <c r="V46" s="341"/>
      <c r="W46" s="341"/>
      <c r="X46" s="350"/>
      <c r="Y46" s="350"/>
      <c r="Z46" s="343">
        <f>ROUND(E46+G46+I46+J46+K46+L46+M46+N46+O46+Q46+R46+S46+T46+V46+W46+X46+Y46,2)</f>
        <v>2.15</v>
      </c>
      <c r="AA46" s="344">
        <f>Z46*B46</f>
        <v>134.9555</v>
      </c>
      <c r="AB46" s="7"/>
      <c r="AC46" s="7"/>
      <c r="AD46" s="223">
        <f>Z46+Z141</f>
        <v>3.8499999999999996</v>
      </c>
      <c r="AE46" s="7" t="str">
        <f>A46</f>
        <v>Сахар</v>
      </c>
      <c r="AF46" s="7"/>
      <c r="AG46" s="7"/>
      <c r="AH46" s="7"/>
    </row>
    <row r="47" spans="1:34" ht="15" customHeight="1" thickTop="1">
      <c r="A47" s="133"/>
      <c r="B47" s="309"/>
      <c r="C47" s="310" t="s">
        <v>72</v>
      </c>
      <c r="D47" s="184"/>
      <c r="E47" s="88"/>
      <c r="F47" s="107"/>
      <c r="G47" s="88"/>
      <c r="H47" s="108"/>
      <c r="I47" s="88"/>
      <c r="J47" s="88"/>
      <c r="K47" s="88"/>
      <c r="L47" s="88"/>
      <c r="M47" s="88"/>
      <c r="N47" s="88"/>
      <c r="O47" s="88"/>
      <c r="P47" s="108"/>
      <c r="Q47" s="88"/>
      <c r="R47" s="131">
        <v>21</v>
      </c>
      <c r="S47" s="131"/>
      <c r="T47" s="88"/>
      <c r="U47" s="426"/>
      <c r="V47" s="113"/>
      <c r="W47" s="113"/>
      <c r="X47" s="88"/>
      <c r="Y47" s="88"/>
      <c r="Z47" s="210"/>
      <c r="AA47" s="311"/>
      <c r="AB47" s="7"/>
      <c r="AC47" s="7"/>
      <c r="AD47" s="224"/>
      <c r="AE47" s="7"/>
      <c r="AF47" s="7"/>
      <c r="AG47" s="7"/>
      <c r="AH47" s="7"/>
    </row>
    <row r="48" spans="1:34" ht="15.75" customHeight="1" thickBot="1">
      <c r="A48" s="346" t="s">
        <v>88</v>
      </c>
      <c r="B48" s="347">
        <v>200</v>
      </c>
      <c r="C48" s="348" t="s">
        <v>73</v>
      </c>
      <c r="D48" s="423"/>
      <c r="E48" s="350"/>
      <c r="F48" s="363"/>
      <c r="G48" s="350"/>
      <c r="H48" s="349"/>
      <c r="I48" s="350"/>
      <c r="J48" s="350"/>
      <c r="K48" s="350"/>
      <c r="L48" s="350"/>
      <c r="M48" s="350"/>
      <c r="N48" s="350"/>
      <c r="O48" s="350"/>
      <c r="P48" s="349"/>
      <c r="Q48" s="350"/>
      <c r="R48" s="341">
        <f>R47*B25/1000</f>
        <v>2.1</v>
      </c>
      <c r="S48" s="341"/>
      <c r="T48" s="350"/>
      <c r="U48" s="360"/>
      <c r="V48" s="350"/>
      <c r="W48" s="350"/>
      <c r="X48" s="350"/>
      <c r="Y48" s="350"/>
      <c r="Z48" s="343">
        <f>ROUND(E48+G48+I48+J48+K48+L48+M48+N48+O48+Q48+R48+S48+T48+V48+W48+X48+Y48,2)</f>
        <v>2.1</v>
      </c>
      <c r="AA48" s="344">
        <f>Z48*B48</f>
        <v>420</v>
      </c>
      <c r="AB48" s="7"/>
      <c r="AC48" s="7"/>
      <c r="AD48" s="223">
        <f>Z48+Z143</f>
        <v>3.9000000000000004</v>
      </c>
      <c r="AE48" s="7" t="str">
        <f>A48</f>
        <v>Апельсины</v>
      </c>
      <c r="AF48" s="7"/>
      <c r="AG48" s="7"/>
      <c r="AH48" s="7"/>
    </row>
    <row r="49" spans="1:34" ht="12.75" customHeight="1" thickTop="1">
      <c r="A49" s="133"/>
      <c r="B49" s="313"/>
      <c r="C49" s="310" t="s">
        <v>72</v>
      </c>
      <c r="D49" s="184"/>
      <c r="E49" s="104"/>
      <c r="F49" s="314"/>
      <c r="G49" s="104"/>
      <c r="H49" s="108"/>
      <c r="I49" s="104"/>
      <c r="J49" s="104"/>
      <c r="K49" s="184"/>
      <c r="L49" s="599">
        <f>L50/B25*1000</f>
        <v>180</v>
      </c>
      <c r="M49" s="104"/>
      <c r="N49" s="104"/>
      <c r="O49" s="104"/>
      <c r="P49" s="108"/>
      <c r="Q49" s="104"/>
      <c r="R49" s="104"/>
      <c r="S49" s="104"/>
      <c r="T49" s="104"/>
      <c r="U49" s="265"/>
      <c r="V49" s="104"/>
      <c r="W49" s="137"/>
      <c r="X49" s="137"/>
      <c r="Y49" s="104"/>
      <c r="Z49" s="210"/>
      <c r="AA49" s="311"/>
      <c r="AB49" s="7"/>
      <c r="AC49" s="7"/>
      <c r="AD49" s="224"/>
      <c r="AE49" s="7"/>
      <c r="AF49" s="7"/>
      <c r="AG49" s="7"/>
      <c r="AH49" s="7"/>
    </row>
    <row r="50" spans="1:34" ht="15" customHeight="1" thickBot="1">
      <c r="A50" s="346" t="s">
        <v>123</v>
      </c>
      <c r="B50" s="347">
        <v>33.61</v>
      </c>
      <c r="C50" s="348" t="s">
        <v>73</v>
      </c>
      <c r="D50" s="423"/>
      <c r="E50" s="350"/>
      <c r="F50" s="363"/>
      <c r="G50" s="350"/>
      <c r="H50" s="349"/>
      <c r="I50" s="350"/>
      <c r="J50" s="350"/>
      <c r="K50" s="341"/>
      <c r="L50" s="422">
        <v>18</v>
      </c>
      <c r="M50" s="350"/>
      <c r="N50" s="350"/>
      <c r="O50" s="350"/>
      <c r="P50" s="349"/>
      <c r="Q50" s="350"/>
      <c r="R50" s="350"/>
      <c r="S50" s="350"/>
      <c r="T50" s="350"/>
      <c r="U50" s="360"/>
      <c r="V50" s="350"/>
      <c r="W50" s="350"/>
      <c r="X50" s="341"/>
      <c r="Y50" s="350"/>
      <c r="Z50" s="343">
        <f>ROUND(E50+G50+I50+J50+K50+L50+M50+N50+O50+Q50+R50+S50+T50+V50+W50+X50+Y50,2)</f>
        <v>18</v>
      </c>
      <c r="AA50" s="344">
        <f>Z50*B50</f>
        <v>604.98</v>
      </c>
      <c r="AB50" s="7"/>
      <c r="AC50" s="7"/>
      <c r="AD50" s="226">
        <f>Z50+Z145</f>
        <v>33</v>
      </c>
      <c r="AE50" s="7" t="str">
        <f>A50</f>
        <v>Сок</v>
      </c>
      <c r="AF50" s="7"/>
      <c r="AG50" s="7"/>
      <c r="AH50" s="7"/>
    </row>
    <row r="51" spans="1:34" ht="15" customHeight="1">
      <c r="A51" s="22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6" t="s">
        <v>71</v>
      </c>
      <c r="AA51" s="317"/>
      <c r="AD51" s="227"/>
    </row>
    <row r="52" spans="1:34" ht="12" customHeight="1">
      <c r="A52" s="26" t="s">
        <v>53</v>
      </c>
      <c r="B52" s="318"/>
      <c r="C52" s="319"/>
      <c r="D52" s="319"/>
      <c r="E52" s="320"/>
      <c r="F52" s="320"/>
      <c r="G52" s="320"/>
      <c r="H52" s="320"/>
      <c r="I52" s="320"/>
      <c r="J52" s="320"/>
      <c r="K52" s="320"/>
      <c r="L52" s="320"/>
      <c r="M52" s="320"/>
      <c r="N52" s="321" t="s">
        <v>41</v>
      </c>
      <c r="O52" s="320"/>
      <c r="P52" s="320"/>
      <c r="Q52" s="320"/>
      <c r="R52" s="321" t="s">
        <v>11</v>
      </c>
      <c r="S52" s="321"/>
      <c r="T52" s="321"/>
      <c r="U52" s="321"/>
      <c r="V52" s="320"/>
      <c r="W52" s="320"/>
      <c r="X52" s="320"/>
      <c r="Y52" s="315"/>
      <c r="Z52" s="1255" t="s">
        <v>8</v>
      </c>
      <c r="AA52" s="1256"/>
      <c r="AB52" s="7"/>
      <c r="AC52" s="7"/>
      <c r="AD52" s="228"/>
      <c r="AE52" s="7"/>
      <c r="AF52" s="7"/>
      <c r="AG52" s="7"/>
      <c r="AH52" s="7"/>
    </row>
    <row r="53" spans="1:34" ht="12" customHeight="1">
      <c r="A53" s="524"/>
      <c r="B53" s="322"/>
      <c r="C53" s="323" t="s">
        <v>52</v>
      </c>
      <c r="D53" s="326"/>
      <c r="E53" s="1267" t="str">
        <f>E19</f>
        <v>З А В Т Р А К</v>
      </c>
      <c r="F53" s="1267"/>
      <c r="G53" s="1267"/>
      <c r="H53" s="1267"/>
      <c r="I53" s="1267"/>
      <c r="J53" s="1268"/>
      <c r="K53" s="526"/>
      <c r="L53" s="1267" t="str">
        <f>L19</f>
        <v>О Б Е Д</v>
      </c>
      <c r="M53" s="1267"/>
      <c r="N53" s="1267"/>
      <c r="O53" s="1267"/>
      <c r="P53" s="1267"/>
      <c r="Q53" s="1267"/>
      <c r="R53" s="1267"/>
      <c r="S53" s="1267"/>
      <c r="T53" s="1268"/>
      <c r="U53" s="649"/>
      <c r="V53" s="1267" t="str">
        <f>V19</f>
        <v>П О Л Д Н И К</v>
      </c>
      <c r="W53" s="1267"/>
      <c r="X53" s="1267"/>
      <c r="Y53" s="1267"/>
      <c r="Z53" s="1271" t="s">
        <v>3</v>
      </c>
      <c r="AA53" s="1272"/>
      <c r="AB53" s="7"/>
      <c r="AC53" s="7"/>
      <c r="AD53" s="228"/>
      <c r="AE53" s="7"/>
      <c r="AF53" s="7"/>
      <c r="AG53" s="7"/>
      <c r="AH53" s="7"/>
    </row>
    <row r="54" spans="1:34" ht="10.5" customHeight="1">
      <c r="A54" s="523"/>
      <c r="B54" s="323"/>
      <c r="C54" s="323" t="s">
        <v>51</v>
      </c>
      <c r="D54" s="326"/>
      <c r="E54" s="1269"/>
      <c r="F54" s="1269"/>
      <c r="G54" s="1269"/>
      <c r="H54" s="1269"/>
      <c r="I54" s="1269"/>
      <c r="J54" s="1270"/>
      <c r="K54" s="527"/>
      <c r="L54" s="1269"/>
      <c r="M54" s="1269"/>
      <c r="N54" s="1269"/>
      <c r="O54" s="1269"/>
      <c r="P54" s="1269"/>
      <c r="Q54" s="1269"/>
      <c r="R54" s="1269"/>
      <c r="S54" s="1269"/>
      <c r="T54" s="1270"/>
      <c r="U54" s="650"/>
      <c r="V54" s="1269"/>
      <c r="W54" s="1269"/>
      <c r="X54" s="1269"/>
      <c r="Y54" s="1269"/>
      <c r="Z54" s="1255" t="s">
        <v>36</v>
      </c>
      <c r="AA54" s="1256"/>
      <c r="AB54" s="8"/>
      <c r="AC54" s="8"/>
      <c r="AD54" s="228"/>
      <c r="AE54" s="7"/>
      <c r="AF54" s="7"/>
      <c r="AG54" s="7"/>
      <c r="AH54" s="7"/>
    </row>
    <row r="55" spans="1:34" ht="10.5" customHeight="1">
      <c r="A55" s="523" t="s">
        <v>54</v>
      </c>
      <c r="B55" s="323" t="s">
        <v>65</v>
      </c>
      <c r="C55" s="323" t="s">
        <v>9</v>
      </c>
      <c r="D55" s="1044" t="str">
        <f>D21</f>
        <v>Бутерб. с маслом сл.</v>
      </c>
      <c r="E55" s="1044" t="str">
        <f>E21</f>
        <v xml:space="preserve">  5. /20</v>
      </c>
      <c r="F55" s="1035" t="str">
        <f>F21</f>
        <v>Суп мол. с крупой</v>
      </c>
      <c r="G55" s="1038"/>
      <c r="H55" s="1041" t="str">
        <f>H21</f>
        <v>Кофейный напит.</v>
      </c>
      <c r="I55" s="1038"/>
      <c r="J55" s="1044" t="str">
        <f>J21</f>
        <v>Батон витам.</v>
      </c>
      <c r="K55" s="1044" t="str">
        <f>K21</f>
        <v>Зефир</v>
      </c>
      <c r="L55" s="1261" t="str">
        <f>L23</f>
        <v>Сок</v>
      </c>
      <c r="M55" s="1264" t="str">
        <f>M23</f>
        <v>Салат из моркови</v>
      </c>
      <c r="N55" s="1145" t="str">
        <f>N23</f>
        <v>Рыба в суп</v>
      </c>
      <c r="O55" s="1200" t="str">
        <f>O21</f>
        <v>Суп картоф. с рыбой</v>
      </c>
      <c r="P55" s="1035" t="str">
        <f>P21</f>
        <v>Биточек из гов.</v>
      </c>
      <c r="Q55" s="1038"/>
      <c r="R55" s="1041" t="str">
        <f>R21</f>
        <v>Компот из апельсинов</v>
      </c>
      <c r="S55" s="1044" t="str">
        <f>S21</f>
        <v>Рагу овощное</v>
      </c>
      <c r="T55" s="1205" t="str">
        <f>T21</f>
        <v>Хлеб ржано-пшеничный</v>
      </c>
      <c r="U55" s="1205" t="str">
        <f>U23</f>
        <v>Омлет нат.</v>
      </c>
      <c r="V55" s="1038">
        <f>V21</f>
        <v>0</v>
      </c>
      <c r="W55" s="1044">
        <f>W21</f>
        <v>0</v>
      </c>
      <c r="X55" s="1044" t="str">
        <f>X21</f>
        <v xml:space="preserve">Ряженка </v>
      </c>
      <c r="Y55" s="1205" t="str">
        <f>Y21</f>
        <v>Хлеб йодирован. пшен.</v>
      </c>
      <c r="Z55" s="324"/>
      <c r="AA55" s="325"/>
      <c r="AB55" s="7"/>
      <c r="AC55" s="7"/>
      <c r="AD55" s="228"/>
      <c r="AE55" s="7"/>
      <c r="AF55" s="7"/>
      <c r="AG55" s="7"/>
      <c r="AH55" s="7"/>
    </row>
    <row r="56" spans="1:34" ht="10.5" customHeight="1">
      <c r="A56" s="523"/>
      <c r="B56" s="323"/>
      <c r="C56" s="323" t="s">
        <v>10</v>
      </c>
      <c r="D56" s="1045"/>
      <c r="E56" s="1045"/>
      <c r="F56" s="1036"/>
      <c r="G56" s="1039"/>
      <c r="H56" s="1042"/>
      <c r="I56" s="1039"/>
      <c r="J56" s="1045"/>
      <c r="K56" s="1045"/>
      <c r="L56" s="1262"/>
      <c r="M56" s="1265"/>
      <c r="N56" s="1098"/>
      <c r="O56" s="1201"/>
      <c r="P56" s="1036"/>
      <c r="Q56" s="1039"/>
      <c r="R56" s="1042"/>
      <c r="S56" s="1194"/>
      <c r="T56" s="1206"/>
      <c r="U56" s="1206"/>
      <c r="V56" s="1039"/>
      <c r="W56" s="1045"/>
      <c r="X56" s="1045"/>
      <c r="Y56" s="1206"/>
      <c r="Z56" s="322" t="s">
        <v>6</v>
      </c>
      <c r="AA56" s="326" t="s">
        <v>4</v>
      </c>
      <c r="AB56" s="7"/>
      <c r="AC56" s="7"/>
      <c r="AD56" s="228"/>
      <c r="AE56" s="7"/>
      <c r="AF56" s="7"/>
      <c r="AG56" s="7"/>
      <c r="AH56" s="7"/>
    </row>
    <row r="57" spans="1:34" ht="10.5" customHeight="1">
      <c r="A57" s="529"/>
      <c r="B57" s="327"/>
      <c r="C57" s="327"/>
      <c r="D57" s="1046"/>
      <c r="E57" s="1046"/>
      <c r="F57" s="1037"/>
      <c r="G57" s="1040"/>
      <c r="H57" s="1043"/>
      <c r="I57" s="1040"/>
      <c r="J57" s="1046"/>
      <c r="K57" s="1046"/>
      <c r="L57" s="1263"/>
      <c r="M57" s="1266"/>
      <c r="N57" s="1100"/>
      <c r="O57" s="1202"/>
      <c r="P57" s="1037"/>
      <c r="Q57" s="1040"/>
      <c r="R57" s="1043"/>
      <c r="S57" s="1195"/>
      <c r="T57" s="1207"/>
      <c r="U57" s="1207"/>
      <c r="V57" s="1040"/>
      <c r="W57" s="1046"/>
      <c r="X57" s="1046"/>
      <c r="Y57" s="1207"/>
      <c r="Z57" s="327" t="s">
        <v>7</v>
      </c>
      <c r="AA57" s="528" t="s">
        <v>5</v>
      </c>
      <c r="AB57" s="7"/>
      <c r="AC57" s="7"/>
      <c r="AD57" s="228"/>
      <c r="AE57" s="7"/>
      <c r="AF57" s="7"/>
      <c r="AG57" s="7"/>
      <c r="AH57" s="7"/>
    </row>
    <row r="58" spans="1:34" ht="11.25" customHeight="1" thickBot="1">
      <c r="A58" s="64">
        <v>1</v>
      </c>
      <c r="B58" s="947">
        <v>2</v>
      </c>
      <c r="C58" s="72">
        <v>3</v>
      </c>
      <c r="D58" s="943">
        <v>4</v>
      </c>
      <c r="E58" s="80">
        <v>5</v>
      </c>
      <c r="F58" s="86">
        <v>6</v>
      </c>
      <c r="G58" s="943">
        <v>7</v>
      </c>
      <c r="H58" s="87">
        <v>8</v>
      </c>
      <c r="I58" s="80">
        <v>9</v>
      </c>
      <c r="J58" s="95">
        <v>10</v>
      </c>
      <c r="K58" s="96">
        <v>11</v>
      </c>
      <c r="L58" s="80">
        <v>12</v>
      </c>
      <c r="M58" s="80">
        <v>13</v>
      </c>
      <c r="N58" s="80">
        <v>14</v>
      </c>
      <c r="O58" s="80">
        <v>15</v>
      </c>
      <c r="P58" s="97">
        <v>16</v>
      </c>
      <c r="Q58" s="93">
        <v>17</v>
      </c>
      <c r="R58" s="96">
        <v>18</v>
      </c>
      <c r="S58" s="96">
        <v>19</v>
      </c>
      <c r="T58" s="98">
        <v>20</v>
      </c>
      <c r="U58" s="262">
        <v>21</v>
      </c>
      <c r="V58" s="96">
        <v>22</v>
      </c>
      <c r="W58" s="96">
        <v>23</v>
      </c>
      <c r="X58" s="81">
        <v>24</v>
      </c>
      <c r="Y58" s="96">
        <v>25</v>
      </c>
      <c r="Z58" s="35">
        <v>26</v>
      </c>
      <c r="AA58" s="942">
        <v>27</v>
      </c>
      <c r="AB58" s="7"/>
      <c r="AC58" s="7"/>
      <c r="AD58" s="228"/>
      <c r="AE58" s="7"/>
      <c r="AF58" s="7"/>
      <c r="AG58" s="7"/>
      <c r="AH58" s="7"/>
    </row>
    <row r="59" spans="1:34" ht="18" customHeight="1" thickTop="1">
      <c r="A59" s="135"/>
      <c r="B59" s="83"/>
      <c r="C59" s="310" t="s">
        <v>72</v>
      </c>
      <c r="D59" s="181"/>
      <c r="E59" s="94"/>
      <c r="F59" s="109"/>
      <c r="G59" s="94"/>
      <c r="H59" s="109"/>
      <c r="I59" s="94"/>
      <c r="J59" s="94"/>
      <c r="K59" s="94"/>
      <c r="L59" s="94"/>
      <c r="M59" s="410"/>
      <c r="N59" s="410"/>
      <c r="O59" s="130">
        <v>111</v>
      </c>
      <c r="P59" s="109"/>
      <c r="Q59" s="94"/>
      <c r="R59" s="94"/>
      <c r="S59" s="257">
        <v>74</v>
      </c>
      <c r="T59" s="94"/>
      <c r="U59" s="435"/>
      <c r="V59" s="277"/>
      <c r="W59" s="277"/>
      <c r="X59" s="94"/>
      <c r="Y59" s="94"/>
      <c r="Z59" s="329"/>
      <c r="AA59" s="330"/>
      <c r="AB59" s="7"/>
      <c r="AC59" s="7"/>
      <c r="AD59" s="228"/>
      <c r="AE59" s="7"/>
      <c r="AF59" s="7"/>
      <c r="AG59" s="7"/>
    </row>
    <row r="60" spans="1:34" ht="18" customHeight="1" thickBot="1">
      <c r="A60" s="346" t="s">
        <v>26</v>
      </c>
      <c r="B60" s="347">
        <v>28</v>
      </c>
      <c r="C60" s="348" t="s">
        <v>73</v>
      </c>
      <c r="D60" s="348"/>
      <c r="E60" s="337"/>
      <c r="F60" s="338"/>
      <c r="G60" s="337"/>
      <c r="H60" s="338"/>
      <c r="I60" s="337"/>
      <c r="J60" s="337"/>
      <c r="K60" s="337"/>
      <c r="L60" s="512"/>
      <c r="M60" s="341"/>
      <c r="N60" s="350"/>
      <c r="O60" s="339">
        <f>O59*B25/1000</f>
        <v>11.1</v>
      </c>
      <c r="P60" s="338"/>
      <c r="Q60" s="337"/>
      <c r="R60" s="337"/>
      <c r="S60" s="339">
        <f>S59*B25/1000</f>
        <v>7.4</v>
      </c>
      <c r="T60" s="337"/>
      <c r="U60" s="352"/>
      <c r="V60" s="369"/>
      <c r="W60" s="354"/>
      <c r="X60" s="337"/>
      <c r="Y60" s="337"/>
      <c r="Z60" s="343">
        <f>ROUND(E60+G60+I60+J60+K60+L60+M60+N60+O60+Q60+R60+S60+T60+V60+W60+X60+Y60,2)</f>
        <v>18.5</v>
      </c>
      <c r="AA60" s="344">
        <f>Z60*B60</f>
        <v>518</v>
      </c>
      <c r="AB60" s="7"/>
      <c r="AC60" s="7"/>
      <c r="AD60" s="223">
        <f>Z60+Z155</f>
        <v>34.659999999999997</v>
      </c>
      <c r="AE60" s="7" t="str">
        <f>A60</f>
        <v>Картофель</v>
      </c>
      <c r="AF60" s="7"/>
      <c r="AG60" s="7"/>
    </row>
    <row r="61" spans="1:34" ht="18" customHeight="1" thickTop="1">
      <c r="A61" s="133"/>
      <c r="B61" s="334"/>
      <c r="C61" s="310" t="s">
        <v>72</v>
      </c>
      <c r="D61" s="128"/>
      <c r="E61" s="106"/>
      <c r="F61" s="112"/>
      <c r="G61" s="106"/>
      <c r="H61" s="112"/>
      <c r="I61" s="106"/>
      <c r="J61" s="106"/>
      <c r="K61" s="106"/>
      <c r="L61" s="250"/>
      <c r="M61" s="499"/>
      <c r="N61" s="499"/>
      <c r="O61" s="130"/>
      <c r="P61" s="112"/>
      <c r="Q61" s="106"/>
      <c r="R61" s="106"/>
      <c r="S61" s="257">
        <v>32.5</v>
      </c>
      <c r="T61" s="106"/>
      <c r="U61" s="270"/>
      <c r="V61" s="268"/>
      <c r="W61" s="268"/>
      <c r="X61" s="106"/>
      <c r="Y61" s="106"/>
      <c r="Z61" s="210"/>
      <c r="AA61" s="311"/>
      <c r="AB61" s="7"/>
      <c r="AC61" s="7"/>
      <c r="AD61" s="224"/>
      <c r="AE61" s="7"/>
      <c r="AF61" s="7"/>
      <c r="AG61" s="7"/>
    </row>
    <row r="62" spans="1:34" ht="18" customHeight="1" thickBot="1">
      <c r="A62" s="346" t="s">
        <v>93</v>
      </c>
      <c r="B62" s="347">
        <v>30</v>
      </c>
      <c r="C62" s="348" t="s">
        <v>73</v>
      </c>
      <c r="D62" s="348"/>
      <c r="E62" s="337"/>
      <c r="F62" s="338"/>
      <c r="G62" s="337"/>
      <c r="H62" s="338"/>
      <c r="I62" s="337"/>
      <c r="J62" s="337"/>
      <c r="K62" s="337"/>
      <c r="L62" s="340"/>
      <c r="M62" s="350"/>
      <c r="N62" s="350"/>
      <c r="O62" s="339"/>
      <c r="P62" s="338"/>
      <c r="Q62" s="337"/>
      <c r="R62" s="337"/>
      <c r="S62" s="339">
        <f>S61*B25/1000</f>
        <v>3.25</v>
      </c>
      <c r="T62" s="337"/>
      <c r="U62" s="352"/>
      <c r="V62" s="353"/>
      <c r="W62" s="353"/>
      <c r="X62" s="337"/>
      <c r="Y62" s="337"/>
      <c r="Z62" s="343">
        <f>ROUND(E62+G62+I62+J62+K62+L62+M62+N62+O62+Q62+R62+S62+T62+V62+W62+X62+Y62,2)</f>
        <v>3.25</v>
      </c>
      <c r="AA62" s="344">
        <f>Z62*B62</f>
        <v>97.5</v>
      </c>
      <c r="AB62" s="7"/>
      <c r="AC62" s="7"/>
      <c r="AD62" s="223">
        <f>Z62+Z157</f>
        <v>6</v>
      </c>
      <c r="AE62" s="7" t="str">
        <f>A62</f>
        <v>Капуста св. б/к</v>
      </c>
      <c r="AF62" s="7"/>
      <c r="AG62" s="7"/>
    </row>
    <row r="63" spans="1:34" ht="18" customHeight="1" thickTop="1">
      <c r="A63" s="133"/>
      <c r="B63" s="334"/>
      <c r="C63" s="310" t="s">
        <v>72</v>
      </c>
      <c r="D63" s="128"/>
      <c r="E63" s="106"/>
      <c r="F63" s="112"/>
      <c r="G63" s="106"/>
      <c r="H63" s="112"/>
      <c r="I63" s="106"/>
      <c r="J63" s="106"/>
      <c r="K63" s="106"/>
      <c r="L63" s="250"/>
      <c r="M63" s="499"/>
      <c r="N63" s="499"/>
      <c r="O63" s="257">
        <v>8.6</v>
      </c>
      <c r="P63" s="246">
        <f>7.2/70*P26</f>
        <v>7.2</v>
      </c>
      <c r="Q63" s="129">
        <f>P63/P26*Q26</f>
        <v>7.2</v>
      </c>
      <c r="R63" s="127"/>
      <c r="S63" s="127">
        <v>14.4</v>
      </c>
      <c r="T63" s="127"/>
      <c r="U63" s="274"/>
      <c r="V63" s="268"/>
      <c r="W63" s="268"/>
      <c r="X63" s="106"/>
      <c r="Y63" s="106"/>
      <c r="Z63" s="210"/>
      <c r="AA63" s="335"/>
      <c r="AB63" s="7"/>
      <c r="AC63" s="7"/>
      <c r="AD63" s="224"/>
      <c r="AE63" s="7"/>
      <c r="AF63" s="7"/>
      <c r="AG63" s="7"/>
      <c r="AH63" s="7"/>
    </row>
    <row r="64" spans="1:34" ht="18" customHeight="1" thickBot="1">
      <c r="A64" s="346" t="s">
        <v>27</v>
      </c>
      <c r="B64" s="347">
        <v>37</v>
      </c>
      <c r="C64" s="348" t="s">
        <v>73</v>
      </c>
      <c r="D64" s="348"/>
      <c r="E64" s="337"/>
      <c r="F64" s="338"/>
      <c r="G64" s="337"/>
      <c r="H64" s="338"/>
      <c r="I64" s="337"/>
      <c r="J64" s="337"/>
      <c r="K64" s="337"/>
      <c r="L64" s="340"/>
      <c r="M64" s="341"/>
      <c r="N64" s="350"/>
      <c r="O64" s="339">
        <f>O63*B25/1000</f>
        <v>0.86</v>
      </c>
      <c r="P64" s="349">
        <f>P63*P25/1000</f>
        <v>0.72</v>
      </c>
      <c r="Q64" s="339">
        <f>P64</f>
        <v>0.72</v>
      </c>
      <c r="R64" s="337"/>
      <c r="S64" s="339">
        <f>S63*B25/1000</f>
        <v>1.44</v>
      </c>
      <c r="T64" s="337"/>
      <c r="U64" s="352"/>
      <c r="V64" s="353"/>
      <c r="W64" s="353"/>
      <c r="X64" s="337"/>
      <c r="Y64" s="337"/>
      <c r="Z64" s="343">
        <f>ROUND(E64+G64+I64+J64+K64+L64+M64+N64+O64+Q64+R64+S64+T64+V64+W64+X64+Y64,2)</f>
        <v>3.02</v>
      </c>
      <c r="AA64" s="351">
        <f>Z64*B64</f>
        <v>111.74</v>
      </c>
      <c r="AB64" s="7"/>
      <c r="AC64" s="7"/>
      <c r="AD64" s="223">
        <f>Z64+Z159</f>
        <v>5.6099999999999994</v>
      </c>
      <c r="AE64" s="7" t="str">
        <f>A64</f>
        <v>Лук</v>
      </c>
      <c r="AF64" s="7"/>
      <c r="AG64" s="7"/>
      <c r="AH64" s="7"/>
    </row>
    <row r="65" spans="1:34" ht="18" customHeight="1" thickTop="1">
      <c r="A65" s="133"/>
      <c r="B65" s="334"/>
      <c r="C65" s="310" t="s">
        <v>72</v>
      </c>
      <c r="D65" s="128"/>
      <c r="E65" s="106"/>
      <c r="F65" s="112"/>
      <c r="G65" s="106"/>
      <c r="H65" s="112"/>
      <c r="I65" s="106"/>
      <c r="J65" s="106"/>
      <c r="K65" s="106"/>
      <c r="L65" s="251"/>
      <c r="M65" s="131">
        <v>63.8</v>
      </c>
      <c r="N65" s="499"/>
      <c r="O65" s="257">
        <v>9.6</v>
      </c>
      <c r="P65" s="246"/>
      <c r="Q65" s="129"/>
      <c r="R65" s="127"/>
      <c r="S65" s="127">
        <v>27</v>
      </c>
      <c r="T65" s="127"/>
      <c r="U65" s="274"/>
      <c r="V65" s="268"/>
      <c r="W65" s="272"/>
      <c r="X65" s="106"/>
      <c r="Y65" s="106"/>
      <c r="Z65" s="210"/>
      <c r="AA65" s="311"/>
      <c r="AB65" s="7"/>
      <c r="AC65" s="7"/>
      <c r="AD65" s="224"/>
      <c r="AE65" s="7"/>
      <c r="AF65" s="7"/>
      <c r="AG65" s="7"/>
      <c r="AH65" s="7"/>
    </row>
    <row r="66" spans="1:34" ht="18" customHeight="1" thickBot="1">
      <c r="A66" s="346" t="s">
        <v>28</v>
      </c>
      <c r="B66" s="347">
        <v>38</v>
      </c>
      <c r="C66" s="348" t="s">
        <v>73</v>
      </c>
      <c r="D66" s="348"/>
      <c r="E66" s="337"/>
      <c r="F66" s="338"/>
      <c r="G66" s="337"/>
      <c r="H66" s="338"/>
      <c r="I66" s="337"/>
      <c r="J66" s="337"/>
      <c r="K66" s="337"/>
      <c r="L66" s="512"/>
      <c r="M66" s="341">
        <f>M65*B25/1000</f>
        <v>6.38</v>
      </c>
      <c r="N66" s="350"/>
      <c r="O66" s="339">
        <f>O65*B25/1000</f>
        <v>0.96</v>
      </c>
      <c r="P66" s="349"/>
      <c r="Q66" s="340"/>
      <c r="R66" s="337"/>
      <c r="S66" s="339">
        <f>S65*B25/1000</f>
        <v>2.7</v>
      </c>
      <c r="T66" s="337"/>
      <c r="U66" s="352"/>
      <c r="V66" s="353"/>
      <c r="W66" s="354"/>
      <c r="X66" s="337"/>
      <c r="Y66" s="337"/>
      <c r="Z66" s="343">
        <f>ROUND(E66+G66+I66+J66+K66+L66+M66+N66+O66+Q66+R66+S66+T66+V66+W66+X66+Y66,2)</f>
        <v>10.039999999999999</v>
      </c>
      <c r="AA66" s="344">
        <f>Z66*B66</f>
        <v>381.52</v>
      </c>
      <c r="AB66" s="7"/>
      <c r="AC66" s="7"/>
      <c r="AD66" s="223">
        <f>Z66+Z161</f>
        <v>17.03</v>
      </c>
      <c r="AE66" s="7" t="str">
        <f>A66</f>
        <v>Морковь</v>
      </c>
      <c r="AF66" s="7"/>
      <c r="AG66" s="7"/>
      <c r="AH66" s="7"/>
    </row>
    <row r="67" spans="1:34" ht="18" customHeight="1" thickTop="1">
      <c r="A67" s="133"/>
      <c r="B67" s="334"/>
      <c r="C67" s="310" t="s">
        <v>72</v>
      </c>
      <c r="D67" s="128"/>
      <c r="E67" s="106"/>
      <c r="F67" s="112"/>
      <c r="G67" s="106"/>
      <c r="H67" s="112"/>
      <c r="I67" s="106"/>
      <c r="J67" s="106"/>
      <c r="K67" s="106"/>
      <c r="L67" s="256"/>
      <c r="M67" s="129"/>
      <c r="N67" s="499"/>
      <c r="O67" s="106"/>
      <c r="P67" s="112"/>
      <c r="Q67" s="114"/>
      <c r="R67" s="106"/>
      <c r="S67" s="106"/>
      <c r="T67" s="106"/>
      <c r="U67" s="270"/>
      <c r="V67" s="268"/>
      <c r="W67" s="268"/>
      <c r="X67" s="106"/>
      <c r="Y67" s="106"/>
      <c r="Z67" s="210"/>
      <c r="AA67" s="311"/>
      <c r="AB67" s="7"/>
      <c r="AC67" s="7"/>
      <c r="AD67" s="224"/>
      <c r="AE67" s="7"/>
      <c r="AF67" s="7"/>
      <c r="AG67" s="7"/>
      <c r="AH67" s="7"/>
    </row>
    <row r="68" spans="1:34" ht="18" customHeight="1" thickBot="1">
      <c r="A68" s="346" t="s">
        <v>87</v>
      </c>
      <c r="B68" s="347">
        <v>28</v>
      </c>
      <c r="C68" s="348" t="s">
        <v>73</v>
      </c>
      <c r="D68" s="348"/>
      <c r="E68" s="337"/>
      <c r="F68" s="338"/>
      <c r="G68" s="337"/>
      <c r="H68" s="338"/>
      <c r="I68" s="337"/>
      <c r="J68" s="337"/>
      <c r="K68" s="337"/>
      <c r="L68" s="342"/>
      <c r="M68" s="341"/>
      <c r="N68" s="350"/>
      <c r="O68" s="337"/>
      <c r="P68" s="338"/>
      <c r="Q68" s="337"/>
      <c r="R68" s="337"/>
      <c r="S68" s="337"/>
      <c r="T68" s="337"/>
      <c r="U68" s="352"/>
      <c r="V68" s="353"/>
      <c r="W68" s="353"/>
      <c r="X68" s="337"/>
      <c r="Y68" s="337"/>
      <c r="Z68" s="343">
        <f>ROUND(E68+G68+I68+J68+K68+L68+M68+N68+O68+Q68+R68+S68+T68+V68+W68+X68+Y68,2)</f>
        <v>0</v>
      </c>
      <c r="AA68" s="344">
        <f>Z68*B68</f>
        <v>0</v>
      </c>
      <c r="AB68" s="7"/>
      <c r="AC68" s="7"/>
      <c r="AD68" s="223">
        <f>Z68+Z163</f>
        <v>0</v>
      </c>
      <c r="AE68" s="7" t="str">
        <f>A68</f>
        <v>Свекла стол.</v>
      </c>
      <c r="AF68" s="7"/>
      <c r="AG68" s="7"/>
      <c r="AH68" s="7"/>
    </row>
    <row r="69" spans="1:34" ht="18" customHeight="1" thickTop="1">
      <c r="A69" s="133"/>
      <c r="B69" s="334"/>
      <c r="C69" s="310" t="s">
        <v>72</v>
      </c>
      <c r="D69" s="430">
        <v>20</v>
      </c>
      <c r="E69" s="129">
        <f>D69/D26*E26</f>
        <v>20</v>
      </c>
      <c r="F69" s="112"/>
      <c r="G69" s="106"/>
      <c r="H69" s="112"/>
      <c r="I69" s="106"/>
      <c r="J69" s="127">
        <f>J70/B25*1000</f>
        <v>20</v>
      </c>
      <c r="K69" s="127"/>
      <c r="L69" s="251"/>
      <c r="M69" s="464"/>
      <c r="N69" s="499"/>
      <c r="O69" s="106"/>
      <c r="P69" s="177">
        <f>12.5/70*P26</f>
        <v>12.5</v>
      </c>
      <c r="Q69" s="128">
        <f>P69/P26*Q26</f>
        <v>12.5</v>
      </c>
      <c r="R69" s="106"/>
      <c r="S69" s="106"/>
      <c r="T69" s="106"/>
      <c r="U69" s="270"/>
      <c r="V69" s="434"/>
      <c r="W69" s="268"/>
      <c r="X69" s="106"/>
      <c r="Y69" s="114"/>
      <c r="Z69" s="210"/>
      <c r="AA69" s="311"/>
      <c r="AB69" s="7"/>
      <c r="AC69" s="7"/>
      <c r="AD69" s="224"/>
      <c r="AE69" s="7"/>
      <c r="AF69" s="7"/>
      <c r="AG69" s="7"/>
      <c r="AH69" s="7"/>
    </row>
    <row r="70" spans="1:34" ht="18" customHeight="1" thickBot="1">
      <c r="A70" s="346" t="s">
        <v>62</v>
      </c>
      <c r="B70" s="347">
        <v>81.099999999999994</v>
      </c>
      <c r="C70" s="348" t="s">
        <v>73</v>
      </c>
      <c r="D70" s="363">
        <f>D69*D25/1000</f>
        <v>2</v>
      </c>
      <c r="E70" s="341">
        <f>ROUND(D70,2)</f>
        <v>2</v>
      </c>
      <c r="F70" s="338"/>
      <c r="G70" s="337"/>
      <c r="H70" s="338"/>
      <c r="I70" s="337"/>
      <c r="J70" s="339">
        <v>2</v>
      </c>
      <c r="K70" s="339"/>
      <c r="L70" s="512"/>
      <c r="M70" s="378"/>
      <c r="N70" s="350"/>
      <c r="O70" s="337"/>
      <c r="P70" s="349">
        <f>P69*P25/1000</f>
        <v>1.25</v>
      </c>
      <c r="Q70" s="339">
        <f>P70</f>
        <v>1.25</v>
      </c>
      <c r="R70" s="337"/>
      <c r="S70" s="337"/>
      <c r="T70" s="337"/>
      <c r="U70" s="352"/>
      <c r="V70" s="353"/>
      <c r="W70" s="353"/>
      <c r="X70" s="337"/>
      <c r="Y70" s="339"/>
      <c r="Z70" s="343">
        <f>ROUND(E70+G70+I70+J70+K70+L70+M70+N70+O70+Q70+R70+S70+T70+V70+W70+X70+Y70,2)</f>
        <v>5.25</v>
      </c>
      <c r="AA70" s="344">
        <f>Z70*B70</f>
        <v>425.77499999999998</v>
      </c>
      <c r="AB70" s="7"/>
      <c r="AC70" s="7"/>
      <c r="AD70" s="223">
        <f>Z70+Z165</f>
        <v>9.35</v>
      </c>
      <c r="AE70" s="7" t="str">
        <f>A70</f>
        <v>Батон витам.</v>
      </c>
      <c r="AF70" s="7"/>
      <c r="AG70" s="7"/>
      <c r="AH70" s="7"/>
    </row>
    <row r="71" spans="1:34" ht="18" customHeight="1" thickTop="1">
      <c r="A71" s="133"/>
      <c r="B71" s="334"/>
      <c r="C71" s="310" t="s">
        <v>72</v>
      </c>
      <c r="D71" s="128"/>
      <c r="E71" s="106"/>
      <c r="F71" s="112"/>
      <c r="G71" s="106"/>
      <c r="H71" s="112"/>
      <c r="I71" s="106"/>
      <c r="J71" s="106"/>
      <c r="K71" s="106"/>
      <c r="L71" s="251"/>
      <c r="M71" s="464"/>
      <c r="N71" s="268"/>
      <c r="O71" s="106"/>
      <c r="P71" s="112"/>
      <c r="Q71" s="106"/>
      <c r="R71" s="106"/>
      <c r="S71" s="106"/>
      <c r="T71" s="128">
        <f>T72/T25*1000</f>
        <v>40</v>
      </c>
      <c r="U71" s="693"/>
      <c r="V71" s="268"/>
      <c r="W71" s="268"/>
      <c r="X71" s="106"/>
      <c r="Y71" s="106"/>
      <c r="Z71" s="210"/>
      <c r="AA71" s="311"/>
      <c r="AB71" s="7"/>
      <c r="AC71" s="7"/>
      <c r="AD71" s="224"/>
      <c r="AE71" s="7"/>
      <c r="AF71" s="7"/>
      <c r="AG71" s="7"/>
      <c r="AH71" s="7"/>
    </row>
    <row r="72" spans="1:34" ht="18" customHeight="1" thickBot="1">
      <c r="A72" s="346" t="s">
        <v>82</v>
      </c>
      <c r="B72" s="347">
        <v>55</v>
      </c>
      <c r="C72" s="348" t="s">
        <v>73</v>
      </c>
      <c r="D72" s="348"/>
      <c r="E72" s="337"/>
      <c r="F72" s="338"/>
      <c r="G72" s="337"/>
      <c r="H72" s="338"/>
      <c r="I72" s="337"/>
      <c r="J72" s="337"/>
      <c r="K72" s="337"/>
      <c r="L72" s="358"/>
      <c r="M72" s="369"/>
      <c r="N72" s="353"/>
      <c r="O72" s="337"/>
      <c r="P72" s="338"/>
      <c r="Q72" s="337"/>
      <c r="R72" s="337"/>
      <c r="S72" s="337"/>
      <c r="T72" s="339">
        <v>4</v>
      </c>
      <c r="U72" s="361"/>
      <c r="V72" s="353"/>
      <c r="W72" s="353"/>
      <c r="X72" s="337"/>
      <c r="Y72" s="337"/>
      <c r="Z72" s="343">
        <f>ROUND(E72+G72+I72+J72+K72+L72+M72+N72+O72+Q72+R72+S72+T72+V72+W72+X72+Y72,2)</f>
        <v>4</v>
      </c>
      <c r="AA72" s="344">
        <f>Z72*B72</f>
        <v>220</v>
      </c>
      <c r="AB72" s="7"/>
      <c r="AC72" s="7"/>
      <c r="AD72" s="226">
        <f>Z72+Z167</f>
        <v>7</v>
      </c>
      <c r="AE72" s="7" t="str">
        <f>A72</f>
        <v>Хлеб рж-пшен.</v>
      </c>
      <c r="AF72" s="7"/>
      <c r="AG72" s="7"/>
      <c r="AH72" s="7"/>
    </row>
    <row r="73" spans="1:34" ht="18" customHeight="1" thickTop="1">
      <c r="A73" s="133"/>
      <c r="B73" s="334"/>
      <c r="C73" s="310" t="s">
        <v>72</v>
      </c>
      <c r="D73" s="128"/>
      <c r="E73" s="106"/>
      <c r="F73" s="112"/>
      <c r="G73" s="106"/>
      <c r="H73" s="112"/>
      <c r="I73" s="106"/>
      <c r="J73" s="106"/>
      <c r="K73" s="106"/>
      <c r="L73" s="251"/>
      <c r="M73" s="464"/>
      <c r="N73" s="268"/>
      <c r="O73" s="106"/>
      <c r="P73" s="112"/>
      <c r="Q73" s="106"/>
      <c r="R73" s="106"/>
      <c r="S73" s="106"/>
      <c r="T73" s="106"/>
      <c r="U73" s="270"/>
      <c r="V73" s="268"/>
      <c r="W73" s="268"/>
      <c r="X73" s="106"/>
      <c r="Y73" s="128">
        <f>Y74/Y25*1000</f>
        <v>20</v>
      </c>
      <c r="Z73" s="210"/>
      <c r="AA73" s="311"/>
      <c r="AB73" s="7"/>
      <c r="AC73" s="7"/>
      <c r="AD73" s="228"/>
      <c r="AE73" s="7"/>
      <c r="AF73" s="7"/>
      <c r="AG73" s="7"/>
      <c r="AH73" s="7"/>
    </row>
    <row r="74" spans="1:34" ht="18" customHeight="1" thickBot="1">
      <c r="A74" s="134" t="s">
        <v>84</v>
      </c>
      <c r="B74" s="307">
        <v>61.3</v>
      </c>
      <c r="C74" s="308" t="s">
        <v>73</v>
      </c>
      <c r="D74" s="308"/>
      <c r="E74" s="331"/>
      <c r="F74" s="332"/>
      <c r="G74" s="331"/>
      <c r="H74" s="332"/>
      <c r="I74" s="331"/>
      <c r="J74" s="331"/>
      <c r="K74" s="331"/>
      <c r="L74" s="467"/>
      <c r="M74" s="598"/>
      <c r="N74" s="336"/>
      <c r="O74" s="331"/>
      <c r="P74" s="332"/>
      <c r="Q74" s="331"/>
      <c r="R74" s="331"/>
      <c r="S74" s="331"/>
      <c r="T74" s="331"/>
      <c r="U74" s="689"/>
      <c r="V74" s="336"/>
      <c r="W74" s="336"/>
      <c r="X74" s="331"/>
      <c r="Y74" s="333">
        <v>2</v>
      </c>
      <c r="Z74" s="343">
        <f>ROUND(E74+G74+I74+J74+K74+L74+M74+N74+O74+Q74+R74+S74+T74+V74+W74+X74+Y74,2)</f>
        <v>2</v>
      </c>
      <c r="AA74" s="312">
        <f>Z74*B74</f>
        <v>122.6</v>
      </c>
      <c r="AB74" s="7"/>
      <c r="AC74" s="7"/>
      <c r="AD74" s="223">
        <f>Z74+Z169</f>
        <v>3</v>
      </c>
      <c r="AE74" s="7" t="str">
        <f>A74</f>
        <v xml:space="preserve">Хлеб  йод. пш. </v>
      </c>
      <c r="AF74" s="7"/>
      <c r="AG74" s="7"/>
      <c r="AH74" s="7"/>
    </row>
    <row r="75" spans="1:34" ht="18" customHeight="1" thickTop="1">
      <c r="A75" s="133"/>
      <c r="B75" s="334"/>
      <c r="C75" s="310" t="s">
        <v>72</v>
      </c>
      <c r="D75" s="128"/>
      <c r="E75" s="106"/>
      <c r="F75" s="112"/>
      <c r="G75" s="127"/>
      <c r="H75" s="112"/>
      <c r="I75" s="106"/>
      <c r="J75" s="106"/>
      <c r="K75" s="127">
        <f>K76/B25*1000</f>
        <v>30</v>
      </c>
      <c r="L75" s="251"/>
      <c r="M75" s="499"/>
      <c r="N75" s="137"/>
      <c r="O75" s="106"/>
      <c r="P75" s="112"/>
      <c r="Q75" s="106"/>
      <c r="R75" s="106"/>
      <c r="S75" s="128"/>
      <c r="T75" s="106"/>
      <c r="U75" s="270"/>
      <c r="V75" s="268"/>
      <c r="W75" s="268"/>
      <c r="X75" s="127"/>
      <c r="Y75" s="106"/>
      <c r="Z75" s="210"/>
      <c r="AA75" s="311"/>
      <c r="AB75" s="7"/>
      <c r="AC75" s="7"/>
      <c r="AD75" s="224"/>
      <c r="AE75" s="7"/>
      <c r="AF75" s="7"/>
      <c r="AG75" s="7"/>
      <c r="AH75" s="7"/>
    </row>
    <row r="76" spans="1:34" ht="18" customHeight="1" thickBot="1">
      <c r="A76" s="346" t="s">
        <v>225</v>
      </c>
      <c r="B76" s="347">
        <v>230</v>
      </c>
      <c r="C76" s="348" t="s">
        <v>73</v>
      </c>
      <c r="D76" s="348"/>
      <c r="E76" s="337"/>
      <c r="F76" s="338"/>
      <c r="G76" s="358"/>
      <c r="H76" s="338"/>
      <c r="I76" s="337"/>
      <c r="J76" s="337"/>
      <c r="K76" s="342">
        <v>3</v>
      </c>
      <c r="L76" s="358"/>
      <c r="M76" s="341"/>
      <c r="N76" s="354"/>
      <c r="O76" s="337"/>
      <c r="P76" s="338"/>
      <c r="Q76" s="337"/>
      <c r="R76" s="337"/>
      <c r="S76" s="339"/>
      <c r="T76" s="337"/>
      <c r="U76" s="352"/>
      <c r="V76" s="369"/>
      <c r="W76" s="354"/>
      <c r="X76" s="358"/>
      <c r="Y76" s="337"/>
      <c r="Z76" s="343">
        <f>ROUND(E76+G76+I76+J76+K76+L76+M76+N76+O76+Q76+R76+S76+T76+V76+W76+X76+Y76,2)</f>
        <v>3</v>
      </c>
      <c r="AA76" s="344">
        <f>Z76*B76</f>
        <v>690</v>
      </c>
      <c r="AB76" s="7"/>
      <c r="AC76" s="7"/>
      <c r="AD76" s="223">
        <f>Z76+Z171</f>
        <v>5</v>
      </c>
      <c r="AE76" s="7" t="str">
        <f>A76</f>
        <v>Зефир</v>
      </c>
      <c r="AF76" s="7"/>
      <c r="AG76" s="7"/>
      <c r="AH76" s="7"/>
    </row>
    <row r="77" spans="1:34" ht="18" customHeight="1" thickTop="1">
      <c r="A77" s="133"/>
      <c r="B77" s="334"/>
      <c r="C77" s="310" t="s">
        <v>72</v>
      </c>
      <c r="D77" s="128"/>
      <c r="E77" s="106"/>
      <c r="F77" s="112"/>
      <c r="G77" s="106"/>
      <c r="H77" s="112"/>
      <c r="I77" s="128"/>
      <c r="J77" s="106"/>
      <c r="K77" s="255"/>
      <c r="L77" s="251"/>
      <c r="M77" s="464"/>
      <c r="N77" s="268"/>
      <c r="O77" s="106"/>
      <c r="P77" s="112"/>
      <c r="Q77" s="106"/>
      <c r="R77" s="106"/>
      <c r="S77" s="106"/>
      <c r="T77" s="106"/>
      <c r="U77" s="269"/>
      <c r="V77" s="268"/>
      <c r="W77" s="268"/>
      <c r="X77" s="131">
        <f>X78/B25*1000</f>
        <v>185</v>
      </c>
      <c r="Y77" s="106"/>
      <c r="Z77" s="210"/>
      <c r="AA77" s="311"/>
      <c r="AB77" s="7"/>
      <c r="AC77" s="7"/>
      <c r="AD77" s="224"/>
      <c r="AE77" s="7"/>
      <c r="AF77" s="7"/>
      <c r="AG77" s="7"/>
      <c r="AH77" s="7"/>
    </row>
    <row r="78" spans="1:34" ht="18" customHeight="1" thickBot="1">
      <c r="A78" s="346" t="s">
        <v>132</v>
      </c>
      <c r="B78" s="347">
        <v>88</v>
      </c>
      <c r="C78" s="348" t="s">
        <v>73</v>
      </c>
      <c r="D78" s="348"/>
      <c r="E78" s="337"/>
      <c r="F78" s="338"/>
      <c r="G78" s="337"/>
      <c r="H78" s="338"/>
      <c r="I78" s="355"/>
      <c r="J78" s="337"/>
      <c r="K78" s="342"/>
      <c r="L78" s="358"/>
      <c r="M78" s="369"/>
      <c r="N78" s="353"/>
      <c r="O78" s="337"/>
      <c r="P78" s="338"/>
      <c r="Q78" s="337"/>
      <c r="R78" s="337"/>
      <c r="S78" s="337"/>
      <c r="T78" s="337"/>
      <c r="U78" s="352"/>
      <c r="V78" s="353"/>
      <c r="W78" s="353"/>
      <c r="X78" s="341">
        <v>18.5</v>
      </c>
      <c r="Y78" s="337"/>
      <c r="Z78" s="343">
        <f>ROUND(E78+G78+I78+J78+K78+L78+M78+N78+O78+Q78+R78+S78+T78+V78+W78+X78+Y78,2)</f>
        <v>18.5</v>
      </c>
      <c r="AA78" s="344">
        <f>Z78*B78</f>
        <v>1628</v>
      </c>
      <c r="AB78" s="7"/>
      <c r="AC78" s="7"/>
      <c r="AD78" s="223">
        <f>Z78+Z173</f>
        <v>33.9</v>
      </c>
      <c r="AE78" s="7" t="str">
        <f>A78</f>
        <v>Ряженка</v>
      </c>
      <c r="AF78" s="7"/>
      <c r="AG78" s="7"/>
      <c r="AH78" s="7"/>
    </row>
    <row r="79" spans="1:34" ht="18" customHeight="1" thickTop="1">
      <c r="A79" s="133"/>
      <c r="B79" s="334"/>
      <c r="C79" s="310" t="s">
        <v>72</v>
      </c>
      <c r="D79" s="128"/>
      <c r="E79" s="106"/>
      <c r="F79" s="112"/>
      <c r="G79" s="106"/>
      <c r="H79" s="112"/>
      <c r="I79" s="106"/>
      <c r="J79" s="106"/>
      <c r="K79" s="114"/>
      <c r="L79" s="251"/>
      <c r="M79" s="464"/>
      <c r="N79" s="268"/>
      <c r="O79" s="106"/>
      <c r="P79" s="112"/>
      <c r="Q79" s="106"/>
      <c r="R79" s="127"/>
      <c r="S79" s="127"/>
      <c r="T79" s="106"/>
      <c r="U79" s="270"/>
      <c r="V79" s="268"/>
      <c r="W79" s="268"/>
      <c r="X79" s="619"/>
      <c r="Y79" s="106"/>
      <c r="Z79" s="210"/>
      <c r="AA79" s="311"/>
      <c r="AB79" s="7"/>
      <c r="AC79" s="7"/>
      <c r="AD79" s="224"/>
      <c r="AE79" s="7"/>
      <c r="AF79" s="7"/>
      <c r="AG79" s="7"/>
      <c r="AH79" s="7"/>
    </row>
    <row r="80" spans="1:34" ht="18" customHeight="1" thickBot="1">
      <c r="A80" s="346"/>
      <c r="B80" s="347"/>
      <c r="C80" s="348" t="s">
        <v>73</v>
      </c>
      <c r="D80" s="348"/>
      <c r="E80" s="337"/>
      <c r="F80" s="338"/>
      <c r="G80" s="337"/>
      <c r="H80" s="338"/>
      <c r="I80" s="337"/>
      <c r="J80" s="337"/>
      <c r="K80" s="342"/>
      <c r="L80" s="358"/>
      <c r="M80" s="369"/>
      <c r="N80" s="353"/>
      <c r="O80" s="337"/>
      <c r="P80" s="338"/>
      <c r="Q80" s="337"/>
      <c r="R80" s="600"/>
      <c r="S80" s="357"/>
      <c r="T80" s="337"/>
      <c r="U80" s="352"/>
      <c r="V80" s="353"/>
      <c r="W80" s="353"/>
      <c r="X80" s="694"/>
      <c r="Y80" s="337"/>
      <c r="Z80" s="356">
        <f>ROUND(E80+G80+I80+J80+K80+L80+M80+N80+O80+Q80+R80+S80+T80+V80+W80+X80+Y80,3)</f>
        <v>0</v>
      </c>
      <c r="AA80" s="344">
        <f>Z80*B80</f>
        <v>0</v>
      </c>
      <c r="AB80" s="359"/>
      <c r="AC80" s="359"/>
      <c r="AD80" s="225">
        <f>Z80+Z175</f>
        <v>0</v>
      </c>
      <c r="AE80" s="7">
        <f>A80</f>
        <v>0</v>
      </c>
      <c r="AF80" s="7"/>
      <c r="AG80" s="7"/>
      <c r="AH80" s="7"/>
    </row>
    <row r="81" spans="1:34" ht="18" customHeight="1" thickTop="1">
      <c r="A81" s="133"/>
      <c r="B81" s="334"/>
      <c r="C81" s="310" t="s">
        <v>72</v>
      </c>
      <c r="D81" s="128"/>
      <c r="E81" s="106"/>
      <c r="F81" s="112"/>
      <c r="G81" s="106"/>
      <c r="H81" s="112"/>
      <c r="I81" s="106"/>
      <c r="J81" s="106"/>
      <c r="K81" s="106"/>
      <c r="L81" s="250"/>
      <c r="M81" s="499"/>
      <c r="N81" s="272"/>
      <c r="O81" s="130">
        <v>0.9</v>
      </c>
      <c r="P81" s="112"/>
      <c r="Q81" s="129"/>
      <c r="R81" s="106"/>
      <c r="S81" s="127">
        <v>2.2999999999999998</v>
      </c>
      <c r="T81" s="106"/>
      <c r="U81" s="270"/>
      <c r="V81" s="268"/>
      <c r="W81" s="268"/>
      <c r="X81" s="106"/>
      <c r="Y81" s="106"/>
      <c r="Z81" s="210"/>
      <c r="AA81" s="311"/>
      <c r="AB81" s="7"/>
      <c r="AC81" s="7"/>
      <c r="AD81" s="224"/>
      <c r="AE81" s="7"/>
      <c r="AF81" s="7"/>
      <c r="AG81" s="7"/>
      <c r="AH81" s="7"/>
    </row>
    <row r="82" spans="1:34" ht="18" customHeight="1" thickBot="1">
      <c r="A82" s="346" t="s">
        <v>98</v>
      </c>
      <c r="B82" s="347">
        <v>370</v>
      </c>
      <c r="C82" s="348" t="s">
        <v>73</v>
      </c>
      <c r="D82" s="348"/>
      <c r="E82" s="337"/>
      <c r="F82" s="338"/>
      <c r="G82" s="337"/>
      <c r="H82" s="338"/>
      <c r="I82" s="337"/>
      <c r="J82" s="337"/>
      <c r="K82" s="337"/>
      <c r="L82" s="340"/>
      <c r="M82" s="350"/>
      <c r="N82" s="350"/>
      <c r="O82" s="339">
        <f>O81*B25/1000</f>
        <v>0.09</v>
      </c>
      <c r="P82" s="349"/>
      <c r="Q82" s="340"/>
      <c r="R82" s="337"/>
      <c r="S82" s="339">
        <f>S81*B25/1000</f>
        <v>0.22999999999999998</v>
      </c>
      <c r="T82" s="337"/>
      <c r="U82" s="352"/>
      <c r="V82" s="353"/>
      <c r="W82" s="353"/>
      <c r="X82" s="337"/>
      <c r="Y82" s="337"/>
      <c r="Z82" s="343">
        <f>ROUND(E82+G82+I82+J82+K82+L82+M82+N82+O82+Q82+R82+S82+T82+V82+W82+X82+Y82,2)</f>
        <v>0.32</v>
      </c>
      <c r="AA82" s="344">
        <f>Z82*B82</f>
        <v>118.4</v>
      </c>
      <c r="AB82" s="7"/>
      <c r="AC82" s="7"/>
      <c r="AD82" s="223">
        <f>Z82+Z177</f>
        <v>0.32</v>
      </c>
      <c r="AE82" s="7" t="str">
        <f>A82</f>
        <v>Томатн. паста</v>
      </c>
      <c r="AF82" s="7"/>
      <c r="AG82" s="7"/>
      <c r="AH82" s="7"/>
    </row>
    <row r="83" spans="1:34" ht="18" customHeight="1" thickTop="1">
      <c r="A83" s="133"/>
      <c r="B83" s="334"/>
      <c r="C83" s="310" t="s">
        <v>72</v>
      </c>
      <c r="D83" s="128"/>
      <c r="E83" s="105"/>
      <c r="F83" s="112"/>
      <c r="G83" s="105"/>
      <c r="H83" s="112">
        <v>3</v>
      </c>
      <c r="I83" s="128">
        <f>H83/F26*G26</f>
        <v>3</v>
      </c>
      <c r="J83" s="128"/>
      <c r="K83" s="105"/>
      <c r="L83" s="105"/>
      <c r="M83" s="271"/>
      <c r="N83" s="271"/>
      <c r="O83" s="105"/>
      <c r="P83" s="112"/>
      <c r="Q83" s="105"/>
      <c r="R83" s="127"/>
      <c r="S83" s="127"/>
      <c r="T83" s="105"/>
      <c r="U83" s="273"/>
      <c r="V83" s="271"/>
      <c r="W83" s="271"/>
      <c r="X83" s="105"/>
      <c r="Y83" s="105"/>
      <c r="Z83" s="210"/>
      <c r="AA83" s="311"/>
      <c r="AB83" s="7"/>
      <c r="AC83" s="7"/>
      <c r="AD83" s="224"/>
      <c r="AE83" s="7"/>
      <c r="AF83" s="7"/>
      <c r="AG83" s="7"/>
      <c r="AH83" s="7"/>
    </row>
    <row r="84" spans="1:34" ht="18" customHeight="1" thickBot="1">
      <c r="A84" s="346" t="s">
        <v>112</v>
      </c>
      <c r="B84" s="347">
        <v>550</v>
      </c>
      <c r="C84" s="348" t="s">
        <v>73</v>
      </c>
      <c r="D84" s="348"/>
      <c r="E84" s="337"/>
      <c r="F84" s="349"/>
      <c r="G84" s="337"/>
      <c r="H84" s="338">
        <f>H83*F25/1000</f>
        <v>0.3</v>
      </c>
      <c r="I84" s="357">
        <f>H84</f>
        <v>0.3</v>
      </c>
      <c r="J84" s="355"/>
      <c r="K84" s="337"/>
      <c r="L84" s="337"/>
      <c r="M84" s="353"/>
      <c r="N84" s="353"/>
      <c r="O84" s="337"/>
      <c r="P84" s="338"/>
      <c r="Q84" s="337"/>
      <c r="R84" s="339"/>
      <c r="S84" s="339"/>
      <c r="T84" s="337"/>
      <c r="U84" s="352"/>
      <c r="V84" s="353"/>
      <c r="W84" s="353"/>
      <c r="X84" s="337"/>
      <c r="Y84" s="337"/>
      <c r="Z84" s="356">
        <f>ROUND(E84+G84+I84+J84+K84+L84+M84+N84+O84+Q84+R84+S84+T84+V84+W84+X84+Y84,3)</f>
        <v>0.3</v>
      </c>
      <c r="AA84" s="344">
        <f>Z84*B84</f>
        <v>165</v>
      </c>
      <c r="AB84" s="7"/>
      <c r="AC84" s="7"/>
      <c r="AD84" s="225">
        <f>Z84+Z179</f>
        <v>0.5</v>
      </c>
      <c r="AE84" s="7" t="str">
        <f>A84</f>
        <v>Кофейн. нап.</v>
      </c>
      <c r="AF84" s="7"/>
      <c r="AG84" s="7"/>
      <c r="AH84" s="7"/>
    </row>
    <row r="85" spans="1:34" ht="18" customHeight="1" thickTop="1">
      <c r="A85" s="141"/>
      <c r="B85" s="334"/>
      <c r="C85" s="310" t="s">
        <v>72</v>
      </c>
      <c r="D85" s="128"/>
      <c r="E85" s="106"/>
      <c r="F85" s="112"/>
      <c r="G85" s="106"/>
      <c r="H85" s="112"/>
      <c r="I85" s="106"/>
      <c r="J85" s="106"/>
      <c r="K85" s="106"/>
      <c r="L85" s="106"/>
      <c r="M85" s="272"/>
      <c r="N85" s="268"/>
      <c r="O85" s="106"/>
      <c r="P85" s="112"/>
      <c r="Q85" s="106"/>
      <c r="R85" s="106"/>
      <c r="S85" s="106"/>
      <c r="T85" s="106"/>
      <c r="U85" s="270"/>
      <c r="V85" s="129"/>
      <c r="W85" s="272"/>
      <c r="X85" s="106"/>
      <c r="Y85" s="106"/>
      <c r="Z85" s="210"/>
      <c r="AA85" s="311"/>
      <c r="AB85" s="7"/>
      <c r="AC85" s="7"/>
      <c r="AD85" s="224"/>
      <c r="AE85" s="7"/>
      <c r="AF85" s="7"/>
      <c r="AG85" s="7"/>
      <c r="AH85" s="7"/>
    </row>
    <row r="86" spans="1:34" ht="18" customHeight="1" thickBot="1">
      <c r="A86" s="346"/>
      <c r="B86" s="347"/>
      <c r="C86" s="348" t="s">
        <v>73</v>
      </c>
      <c r="D86" s="348"/>
      <c r="E86" s="337"/>
      <c r="F86" s="338"/>
      <c r="G86" s="337"/>
      <c r="H86" s="338"/>
      <c r="I86" s="337"/>
      <c r="J86" s="337"/>
      <c r="K86" s="337"/>
      <c r="L86" s="337"/>
      <c r="M86" s="341"/>
      <c r="N86" s="353"/>
      <c r="O86" s="337"/>
      <c r="P86" s="338"/>
      <c r="Q86" s="337"/>
      <c r="R86" s="337"/>
      <c r="S86" s="337"/>
      <c r="T86" s="337"/>
      <c r="U86" s="352"/>
      <c r="V86" s="350"/>
      <c r="W86" s="341"/>
      <c r="X86" s="353"/>
      <c r="Y86" s="337"/>
      <c r="Z86" s="343">
        <f>ROUND(E86+G86+I86+J86+K86+L86+M86+N86+O86+Q86+R86+S86+T86+V86+W86+X86+Y86,2)</f>
        <v>0</v>
      </c>
      <c r="AA86" s="344">
        <f>Z86*B86</f>
        <v>0</v>
      </c>
      <c r="AB86" s="7"/>
      <c r="AC86" s="7"/>
      <c r="AD86" s="223">
        <f>Z86+Z181</f>
        <v>0</v>
      </c>
      <c r="AE86" s="7">
        <f>A86</f>
        <v>0</v>
      </c>
      <c r="AF86" s="7"/>
      <c r="AG86" s="7"/>
      <c r="AH86" s="7"/>
    </row>
    <row r="87" spans="1:34" ht="18" customHeight="1" thickTop="1">
      <c r="A87" s="133"/>
      <c r="B87" s="334"/>
      <c r="C87" s="310" t="s">
        <v>72</v>
      </c>
      <c r="D87" s="128"/>
      <c r="E87" s="106"/>
      <c r="F87" s="112">
        <v>0.1</v>
      </c>
      <c r="G87" s="128">
        <f>F87/F26*G26</f>
        <v>0.1</v>
      </c>
      <c r="H87" s="112"/>
      <c r="I87" s="106"/>
      <c r="J87" s="106"/>
      <c r="K87" s="106"/>
      <c r="L87" s="513"/>
      <c r="M87" s="500"/>
      <c r="N87" s="129"/>
      <c r="O87" s="106">
        <v>0.3</v>
      </c>
      <c r="P87" s="112">
        <f>0.5</f>
        <v>0.5</v>
      </c>
      <c r="Q87" s="128">
        <f>P87/P26*Q26</f>
        <v>0.5</v>
      </c>
      <c r="R87" s="106"/>
      <c r="S87" s="127">
        <v>1.3</v>
      </c>
      <c r="T87" s="106"/>
      <c r="U87" s="177">
        <v>0.5</v>
      </c>
      <c r="V87" s="128">
        <f>U87/U26*V26</f>
        <v>0.5</v>
      </c>
      <c r="W87" s="403"/>
      <c r="X87" s="268"/>
      <c r="Y87" s="106"/>
      <c r="Z87" s="210"/>
      <c r="AA87" s="311"/>
      <c r="AB87" s="7"/>
      <c r="AC87" s="7"/>
      <c r="AD87" s="224"/>
      <c r="AE87" s="7"/>
      <c r="AF87" s="7"/>
      <c r="AG87" s="7"/>
      <c r="AH87" s="7"/>
    </row>
    <row r="88" spans="1:34" ht="18" customHeight="1" thickBot="1">
      <c r="A88" s="346" t="s">
        <v>138</v>
      </c>
      <c r="B88" s="347">
        <v>28</v>
      </c>
      <c r="C88" s="348" t="s">
        <v>73</v>
      </c>
      <c r="D88" s="348"/>
      <c r="E88" s="337"/>
      <c r="F88" s="338">
        <f>F87*F25/1000</f>
        <v>0.01</v>
      </c>
      <c r="G88" s="339">
        <f>ROUND(F88,2)</f>
        <v>0.01</v>
      </c>
      <c r="H88" s="338"/>
      <c r="I88" s="337"/>
      <c r="J88" s="337"/>
      <c r="K88" s="337"/>
      <c r="L88" s="514"/>
      <c r="M88" s="341"/>
      <c r="N88" s="350"/>
      <c r="O88" s="339">
        <f>O87*B25/1000</f>
        <v>0.03</v>
      </c>
      <c r="P88" s="338">
        <f>P87*P25/1000</f>
        <v>0.05</v>
      </c>
      <c r="Q88" s="339">
        <f>ROUND(P88,2)</f>
        <v>0.05</v>
      </c>
      <c r="R88" s="337"/>
      <c r="S88" s="339">
        <f>S87*B25/1000</f>
        <v>0.13</v>
      </c>
      <c r="T88" s="337"/>
      <c r="U88" s="349">
        <f>U87*U25/1000</f>
        <v>0.05</v>
      </c>
      <c r="V88" s="339">
        <f>ROUND(U88,2)</f>
        <v>0.05</v>
      </c>
      <c r="W88" s="341"/>
      <c r="X88" s="353"/>
      <c r="Y88" s="337"/>
      <c r="Z88" s="343">
        <f>ROUND(E88+G88+I88+J88+K88+L88+M88+N88+O88+Q88+R88+S88+T88+V88+W88+X88+Y88,2)</f>
        <v>0.27</v>
      </c>
      <c r="AA88" s="344">
        <f>Z88*B88</f>
        <v>7.5600000000000005</v>
      </c>
      <c r="AB88" s="7"/>
      <c r="AC88" s="7"/>
      <c r="AD88" s="223">
        <f>Z88+Z183</f>
        <v>0.49</v>
      </c>
      <c r="AE88" s="7" t="str">
        <f>A88</f>
        <v>Соль иодиров.</v>
      </c>
      <c r="AF88" s="7"/>
      <c r="AG88" s="7"/>
      <c r="AH88" s="7"/>
    </row>
    <row r="89" spans="1:34" ht="18" customHeight="1" thickTop="1">
      <c r="A89" s="133"/>
      <c r="B89" s="334"/>
      <c r="C89" s="310" t="s">
        <v>72</v>
      </c>
      <c r="D89" s="128"/>
      <c r="E89" s="106"/>
      <c r="F89" s="112"/>
      <c r="G89" s="106"/>
      <c r="H89" s="112"/>
      <c r="I89" s="106"/>
      <c r="J89" s="106"/>
      <c r="K89" s="106"/>
      <c r="L89" s="513"/>
      <c r="M89" s="500"/>
      <c r="N89" s="129"/>
      <c r="O89" s="106"/>
      <c r="P89" s="112"/>
      <c r="Q89" s="106"/>
      <c r="R89" s="106"/>
      <c r="S89" s="106"/>
      <c r="T89" s="106"/>
      <c r="U89" s="430"/>
      <c r="V89" s="129"/>
      <c r="W89" s="268"/>
      <c r="X89" s="106"/>
      <c r="Y89" s="106"/>
      <c r="Z89" s="210"/>
      <c r="AA89" s="311"/>
      <c r="AB89" s="7"/>
      <c r="AC89" s="7"/>
      <c r="AD89" s="224"/>
      <c r="AE89" s="7"/>
      <c r="AF89" s="7"/>
      <c r="AG89" s="7"/>
      <c r="AH89" s="7"/>
    </row>
    <row r="90" spans="1:34" ht="18" customHeight="1" thickBot="1">
      <c r="A90" s="346"/>
      <c r="B90" s="362"/>
      <c r="C90" s="348" t="s">
        <v>73</v>
      </c>
      <c r="D90" s="348"/>
      <c r="E90" s="337"/>
      <c r="F90" s="338"/>
      <c r="G90" s="358"/>
      <c r="H90" s="338"/>
      <c r="I90" s="337"/>
      <c r="J90" s="337"/>
      <c r="K90" s="337"/>
      <c r="L90" s="514"/>
      <c r="M90" s="501"/>
      <c r="N90" s="350"/>
      <c r="O90" s="337"/>
      <c r="P90" s="338"/>
      <c r="Q90" s="337"/>
      <c r="R90" s="337"/>
      <c r="S90" s="337"/>
      <c r="T90" s="337"/>
      <c r="U90" s="363"/>
      <c r="V90" s="341"/>
      <c r="W90" s="353"/>
      <c r="X90" s="337"/>
      <c r="Y90" s="337"/>
      <c r="Z90" s="343">
        <f>ROUND(E90+G90+I90+J90+K90+L90+M90+N90+O90+Q90+R90+S90+T90+V90+W90+X90+Y90,2)</f>
        <v>0</v>
      </c>
      <c r="AA90" s="344">
        <f>Z90*B90</f>
        <v>0</v>
      </c>
      <c r="AB90" s="7"/>
      <c r="AC90" s="7"/>
      <c r="AD90" s="223">
        <f>Z90+Z185</f>
        <v>0</v>
      </c>
      <c r="AE90" s="7">
        <f>A90</f>
        <v>0</v>
      </c>
      <c r="AF90" s="7"/>
      <c r="AG90" s="7"/>
      <c r="AH90" s="7"/>
    </row>
    <row r="91" spans="1:34" ht="18" customHeight="1">
      <c r="A91" s="136"/>
      <c r="B91" s="6"/>
      <c r="C91" s="75"/>
      <c r="D91" s="75"/>
      <c r="E91" s="105"/>
      <c r="F91" s="112"/>
      <c r="G91" s="105"/>
      <c r="H91" s="112"/>
      <c r="I91" s="105"/>
      <c r="J91" s="105"/>
      <c r="K91" s="105"/>
      <c r="L91" s="105"/>
      <c r="M91" s="271"/>
      <c r="N91" s="271"/>
      <c r="O91" s="105"/>
      <c r="P91" s="112"/>
      <c r="Q91" s="105"/>
      <c r="R91" s="105"/>
      <c r="S91" s="105"/>
      <c r="T91" s="105"/>
      <c r="U91" s="593"/>
      <c r="V91" s="271"/>
      <c r="W91" s="271"/>
      <c r="X91" s="105"/>
      <c r="Y91" s="105"/>
      <c r="Z91" s="125"/>
      <c r="AA91" s="126">
        <f>AA28+AA30+AA32+AA34+AA36+AA38+AA40+AA42+AA44+AA46+AA48+AA50+AA60+AA62+AA64+AA66+AA68+AA70+AA72+AA74+AA76+AA78+AA80+AA82+AA84+AA86+AA88+AA90</f>
        <v>12207.810299999999</v>
      </c>
      <c r="AB91" s="7"/>
      <c r="AC91" s="7"/>
      <c r="AD91" s="7"/>
      <c r="AE91" s="7"/>
      <c r="AF91" s="7"/>
      <c r="AG91" s="7"/>
      <c r="AH91" s="7"/>
    </row>
    <row r="92" spans="1:34" ht="9.75" customHeight="1"/>
    <row r="93" spans="1:34">
      <c r="A93" s="43" t="s">
        <v>311</v>
      </c>
      <c r="R93" s="43" t="s">
        <v>30</v>
      </c>
      <c r="S93" s="9"/>
      <c r="AA93" s="118">
        <f>J13</f>
        <v>11000</v>
      </c>
    </row>
    <row r="94" spans="1:34" ht="9" customHeight="1">
      <c r="A94" s="43" t="s">
        <v>50</v>
      </c>
      <c r="R94" s="43" t="s">
        <v>31</v>
      </c>
      <c r="S94" s="9"/>
    </row>
    <row r="95" spans="1:34" ht="19.5" customHeight="1">
      <c r="A95" s="43" t="s">
        <v>327</v>
      </c>
      <c r="R95" s="43" t="s">
        <v>314</v>
      </c>
      <c r="S95" s="9"/>
    </row>
    <row r="96" spans="1:34" ht="9" customHeight="1">
      <c r="A96" s="43" t="s">
        <v>37</v>
      </c>
      <c r="R96" s="43" t="s">
        <v>31</v>
      </c>
      <c r="S96" s="9"/>
    </row>
    <row r="97" spans="1:29" ht="10.5" customHeight="1">
      <c r="A97" s="3" t="s">
        <v>319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"/>
      <c r="U97" s="7"/>
      <c r="V97" s="10"/>
      <c r="W97" s="10"/>
      <c r="X97" s="10"/>
      <c r="Y97" s="10"/>
      <c r="Z97" s="11"/>
      <c r="AA97" s="11"/>
    </row>
    <row r="98" spans="1:29" ht="18">
      <c r="A98" s="9" t="s">
        <v>2</v>
      </c>
      <c r="B98" s="8"/>
      <c r="C98" s="8"/>
      <c r="D98" s="8"/>
      <c r="E98" s="8"/>
      <c r="F98" s="11"/>
      <c r="G98" s="8"/>
      <c r="H98" s="8"/>
      <c r="I98" s="8"/>
      <c r="J98" s="8"/>
      <c r="K98" s="8"/>
      <c r="L98" s="8"/>
      <c r="M98" s="8"/>
      <c r="N98" s="8"/>
      <c r="O98" s="1060" t="s">
        <v>80</v>
      </c>
      <c r="P98" s="1060"/>
      <c r="Q98" s="1060"/>
      <c r="R98" s="1060"/>
      <c r="S98" s="1060"/>
      <c r="T98" s="1060"/>
      <c r="U98" s="1060"/>
      <c r="V98" s="1060"/>
      <c r="W98" s="1060"/>
      <c r="X98" s="1060"/>
      <c r="Y98" s="1060"/>
      <c r="Z98" s="1060"/>
      <c r="AA98" s="1060"/>
    </row>
    <row r="99" spans="1:29" ht="18.75">
      <c r="A99" s="757" t="str">
        <f>A4</f>
        <v>"08"   января  2024  г.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1"/>
      <c r="U99" s="1"/>
    </row>
    <row r="100" spans="1:29" ht="2.25" customHeight="1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2"/>
      <c r="M100" s="2"/>
      <c r="N100" s="3"/>
      <c r="O100" s="2"/>
      <c r="P100" s="2"/>
      <c r="Q100" s="2"/>
      <c r="R100" s="2"/>
      <c r="S100" s="2"/>
      <c r="T100" s="1"/>
      <c r="U100" s="1"/>
      <c r="V100" s="7"/>
      <c r="W100" s="7"/>
      <c r="X100" s="7"/>
      <c r="Y100" s="7"/>
    </row>
    <row r="101" spans="1:29" ht="13.5" thickBot="1">
      <c r="A101" s="1048" t="s">
        <v>42</v>
      </c>
      <c r="B101" s="1048"/>
      <c r="C101" s="1049"/>
      <c r="D101" s="729"/>
      <c r="E101" s="1047" t="s">
        <v>35</v>
      </c>
      <c r="F101" s="1048"/>
      <c r="G101" s="1049"/>
      <c r="H101" s="1047" t="s">
        <v>60</v>
      </c>
      <c r="I101" s="1048"/>
      <c r="J101" s="1047" t="s">
        <v>58</v>
      </c>
      <c r="K101" s="1048"/>
      <c r="L101" s="1165"/>
      <c r="M101" s="729"/>
      <c r="N101" s="31"/>
      <c r="O101" s="21"/>
      <c r="P101" s="31"/>
      <c r="Q101" s="21"/>
      <c r="R101" s="3"/>
      <c r="S101" s="7"/>
      <c r="T101" s="7"/>
      <c r="U101" s="7"/>
      <c r="V101" s="7"/>
      <c r="W101" s="7"/>
      <c r="X101" s="7"/>
      <c r="Y101" s="7"/>
      <c r="Z101" s="1088" t="s">
        <v>0</v>
      </c>
      <c r="AA101" s="1089"/>
    </row>
    <row r="102" spans="1:29" ht="9" customHeight="1">
      <c r="A102" s="1059" t="s">
        <v>43</v>
      </c>
      <c r="B102" s="1059"/>
      <c r="C102" s="1073"/>
      <c r="D102" s="726"/>
      <c r="E102" s="1065" t="s">
        <v>34</v>
      </c>
      <c r="F102" s="1066"/>
      <c r="G102" s="1067"/>
      <c r="H102" s="1065" t="s">
        <v>12</v>
      </c>
      <c r="I102" s="1066"/>
      <c r="J102" s="1065" t="s">
        <v>15</v>
      </c>
      <c r="K102" s="1066"/>
      <c r="L102" s="1197"/>
      <c r="M102" s="726"/>
      <c r="N102" s="1065" t="s">
        <v>14</v>
      </c>
      <c r="O102" s="1067"/>
      <c r="P102" s="1065" t="s">
        <v>55</v>
      </c>
      <c r="Q102" s="1067"/>
      <c r="R102" s="1106" t="str">
        <f>R7</f>
        <v>на "09" января  2024 г</v>
      </c>
      <c r="S102" s="1138"/>
      <c r="T102" s="1138"/>
      <c r="U102" s="1138"/>
      <c r="V102" s="1138"/>
      <c r="W102" s="1138"/>
      <c r="X102" s="1094" t="s">
        <v>190</v>
      </c>
      <c r="Y102" s="1111"/>
      <c r="Z102" s="1090" t="s">
        <v>23</v>
      </c>
      <c r="AA102" s="1091"/>
    </row>
    <row r="103" spans="1:29" ht="6.75" customHeight="1" thickBot="1">
      <c r="A103" s="730" t="s">
        <v>44</v>
      </c>
      <c r="B103" s="1047" t="s">
        <v>46</v>
      </c>
      <c r="C103" s="1049"/>
      <c r="D103" s="726"/>
      <c r="E103" s="1065" t="s">
        <v>39</v>
      </c>
      <c r="F103" s="1066"/>
      <c r="G103" s="1067"/>
      <c r="H103" s="1065" t="s">
        <v>49</v>
      </c>
      <c r="I103" s="1066"/>
      <c r="J103" s="1065" t="s">
        <v>59</v>
      </c>
      <c r="K103" s="1066"/>
      <c r="L103" s="1197"/>
      <c r="M103" s="726"/>
      <c r="N103" s="1065" t="s">
        <v>40</v>
      </c>
      <c r="O103" s="1067"/>
      <c r="P103" s="1065" t="s">
        <v>56</v>
      </c>
      <c r="Q103" s="1067"/>
      <c r="R103" s="1138"/>
      <c r="S103" s="1138"/>
      <c r="T103" s="1138"/>
      <c r="U103" s="1138"/>
      <c r="V103" s="1138"/>
      <c r="W103" s="1138"/>
      <c r="Z103" s="53"/>
      <c r="AA103" s="56"/>
    </row>
    <row r="104" spans="1:29" ht="13.5" thickBot="1">
      <c r="A104" s="727" t="s">
        <v>45</v>
      </c>
      <c r="B104" s="1058" t="s">
        <v>47</v>
      </c>
      <c r="C104" s="1073"/>
      <c r="D104" s="728"/>
      <c r="E104" s="1058" t="s">
        <v>38</v>
      </c>
      <c r="F104" s="1059"/>
      <c r="G104" s="1073"/>
      <c r="H104" s="1058" t="s">
        <v>13</v>
      </c>
      <c r="I104" s="1059"/>
      <c r="J104" s="1058" t="s">
        <v>38</v>
      </c>
      <c r="K104" s="1059"/>
      <c r="L104" s="726"/>
      <c r="M104" s="726"/>
      <c r="N104" s="25"/>
      <c r="O104" s="3"/>
      <c r="P104" s="1058" t="s">
        <v>57</v>
      </c>
      <c r="Q104" s="1073"/>
      <c r="R104" s="3" t="s">
        <v>194</v>
      </c>
      <c r="S104" s="548"/>
      <c r="T104" s="548"/>
      <c r="U104" s="120"/>
      <c r="V104" s="120"/>
      <c r="W104" s="120"/>
      <c r="X104" s="120"/>
      <c r="Y104" s="700" t="s">
        <v>191</v>
      </c>
      <c r="Z104" s="701"/>
      <c r="AA104" s="708"/>
      <c r="AB104" s="120"/>
      <c r="AC104" s="120"/>
    </row>
    <row r="105" spans="1:29" ht="7.5" customHeight="1">
      <c r="A105" s="17"/>
      <c r="B105" s="1119" t="s">
        <v>48</v>
      </c>
      <c r="C105" s="1064"/>
      <c r="D105" s="726"/>
      <c r="E105" s="723"/>
      <c r="F105" s="3"/>
      <c r="G105" s="30"/>
      <c r="H105" s="3"/>
      <c r="I105" s="3"/>
      <c r="J105" s="1119"/>
      <c r="K105" s="1064"/>
      <c r="L105" s="726"/>
      <c r="M105" s="726"/>
      <c r="N105" s="25"/>
      <c r="O105" s="3"/>
      <c r="P105" s="25"/>
      <c r="Q105" s="17"/>
      <c r="S105" s="709" t="s">
        <v>96</v>
      </c>
      <c r="Y105" s="56"/>
      <c r="Z105" s="702"/>
      <c r="AA105" s="703"/>
      <c r="AB105" s="54"/>
      <c r="AC105" s="32"/>
    </row>
    <row r="106" spans="1:29" ht="13.5" customHeight="1" thickBot="1">
      <c r="A106" s="58">
        <v>1</v>
      </c>
      <c r="B106" s="62"/>
      <c r="C106" s="63">
        <v>2</v>
      </c>
      <c r="D106" s="292"/>
      <c r="E106" s="731"/>
      <c r="F106" s="731">
        <v>3</v>
      </c>
      <c r="G106" s="733"/>
      <c r="H106" s="731"/>
      <c r="I106" s="731">
        <v>4</v>
      </c>
      <c r="J106" s="731"/>
      <c r="K106" s="731"/>
      <c r="L106" s="731"/>
      <c r="M106" s="731"/>
      <c r="N106" s="732"/>
      <c r="O106" s="731"/>
      <c r="P106" s="1104">
        <v>7</v>
      </c>
      <c r="Q106" s="1105"/>
      <c r="R106" s="1074" t="s">
        <v>307</v>
      </c>
      <c r="S106" s="1061"/>
      <c r="T106" s="1061"/>
      <c r="U106" s="1061"/>
      <c r="V106" s="1061"/>
      <c r="W106" s="1061"/>
      <c r="X106" s="1061"/>
      <c r="Y106" s="699" t="s">
        <v>199</v>
      </c>
      <c r="Z106" s="705"/>
      <c r="AA106" s="704"/>
      <c r="AB106" s="682"/>
      <c r="AC106" s="682"/>
    </row>
    <row r="107" spans="1:29" ht="12" customHeight="1">
      <c r="A107" s="37"/>
      <c r="B107" s="38"/>
      <c r="C107" s="38"/>
      <c r="D107" s="38"/>
      <c r="E107" s="38"/>
      <c r="F107" s="38"/>
      <c r="G107" s="39"/>
      <c r="H107" s="38"/>
      <c r="I107" s="38"/>
      <c r="J107" s="38"/>
      <c r="K107" s="38"/>
      <c r="L107" s="38"/>
      <c r="M107" s="38"/>
      <c r="N107" s="40"/>
      <c r="O107" s="39"/>
      <c r="P107" s="41"/>
      <c r="Q107" s="42"/>
      <c r="R107" s="1061"/>
      <c r="S107" s="1061"/>
      <c r="T107" s="1061"/>
      <c r="U107" s="1061"/>
      <c r="V107" s="1061"/>
      <c r="W107" s="1061"/>
      <c r="X107" s="1061"/>
      <c r="Y107" s="56"/>
      <c r="Z107" s="32"/>
      <c r="AA107" s="610"/>
      <c r="AB107" s="32"/>
      <c r="AC107" s="32"/>
    </row>
    <row r="108" spans="1:29" ht="16.5" thickBot="1">
      <c r="A108" s="780" t="s">
        <v>201</v>
      </c>
      <c r="B108" s="28"/>
      <c r="C108" s="28"/>
      <c r="D108" s="28"/>
      <c r="E108" s="28"/>
      <c r="F108" s="28"/>
      <c r="G108" s="219">
        <f>G13</f>
        <v>110</v>
      </c>
      <c r="H108" s="28"/>
      <c r="I108" s="140">
        <f>B120</f>
        <v>100</v>
      </c>
      <c r="J108" s="1075">
        <f>G108*I108</f>
        <v>11000</v>
      </c>
      <c r="K108" s="1182"/>
      <c r="L108" s="1182"/>
      <c r="M108" s="1183"/>
      <c r="N108" s="51"/>
      <c r="O108" s="132">
        <f>AA186/B120</f>
        <v>101.44907800000001</v>
      </c>
      <c r="P108" s="14"/>
      <c r="Q108" s="52"/>
      <c r="R108" s="3"/>
      <c r="S108" s="710" t="str">
        <f>S13</f>
        <v>"Детский сад №31 г. Ельца"</v>
      </c>
      <c r="T108" s="2"/>
      <c r="U108" s="538"/>
      <c r="V108" s="7"/>
      <c r="W108" s="7"/>
      <c r="X108" s="7"/>
      <c r="Y108" s="699"/>
      <c r="Z108" s="7"/>
      <c r="AA108" s="704"/>
      <c r="AB108" s="748"/>
      <c r="AC108" s="617"/>
    </row>
    <row r="109" spans="1:29" ht="11.25" customHeight="1" thickBot="1">
      <c r="A109" s="766"/>
      <c r="B109" s="48"/>
      <c r="C109" s="45"/>
      <c r="D109" s="45"/>
      <c r="E109" s="45"/>
      <c r="F109" s="45"/>
      <c r="G109" s="49"/>
      <c r="H109" s="45"/>
      <c r="I109" s="45"/>
      <c r="J109" s="28"/>
      <c r="K109" s="28"/>
      <c r="L109" s="28"/>
      <c r="M109" s="28"/>
      <c r="N109" s="51"/>
      <c r="O109" s="27"/>
      <c r="P109" s="14"/>
      <c r="Q109" s="52"/>
      <c r="R109" s="3"/>
      <c r="S109" s="7"/>
      <c r="T109" s="7"/>
      <c r="X109" s="32"/>
      <c r="Y109" s="56"/>
      <c r="Z109" s="41"/>
      <c r="AA109" s="707"/>
      <c r="AB109" s="683"/>
      <c r="AC109" s="683"/>
    </row>
    <row r="110" spans="1:29" ht="19.5" thickBot="1">
      <c r="A110" s="779"/>
      <c r="B110" s="38"/>
      <c r="C110" s="38"/>
      <c r="D110" s="38"/>
      <c r="E110" s="38"/>
      <c r="F110" s="38"/>
      <c r="G110" s="38"/>
      <c r="H110" s="38"/>
      <c r="I110" s="42" t="s">
        <v>33</v>
      </c>
      <c r="J110" s="45"/>
      <c r="K110" s="45"/>
      <c r="L110" s="45"/>
      <c r="M110" s="45"/>
      <c r="N110" s="1116">
        <f>O108*B120</f>
        <v>10144.907800000001</v>
      </c>
      <c r="O110" s="1226"/>
      <c r="P110" s="46"/>
      <c r="Q110" s="47"/>
      <c r="R110" s="3" t="s">
        <v>193</v>
      </c>
      <c r="S110" s="7"/>
      <c r="T110" s="7"/>
      <c r="U110" s="549"/>
      <c r="V110" s="711" t="str">
        <f>V15</f>
        <v>Глухова Г.В.</v>
      </c>
      <c r="Y110" s="56"/>
      <c r="Z110" s="66"/>
      <c r="AA110" s="704"/>
      <c r="AB110" s="683"/>
      <c r="AC110" s="683"/>
    </row>
    <row r="111" spans="1:29" ht="11.25" customHeight="1">
      <c r="A111" s="3"/>
      <c r="B111" s="3"/>
      <c r="C111" s="3"/>
      <c r="D111" s="3"/>
      <c r="E111" s="3"/>
      <c r="F111" s="3"/>
      <c r="G111" s="3"/>
      <c r="H111" s="3"/>
      <c r="I111" s="3"/>
      <c r="J111" s="38"/>
      <c r="K111" s="770"/>
      <c r="L111" s="38"/>
      <c r="M111" s="38"/>
      <c r="N111" s="38"/>
      <c r="O111" s="38"/>
      <c r="P111" s="41"/>
      <c r="Q111" s="38"/>
      <c r="R111" s="3"/>
      <c r="S111" s="7"/>
      <c r="T111" s="7"/>
      <c r="Y111" s="32"/>
      <c r="Z111" s="32"/>
      <c r="AB111" s="32"/>
    </row>
    <row r="112" spans="1:29" ht="2.25" customHeight="1">
      <c r="A112" s="2"/>
      <c r="B112" s="2"/>
      <c r="C112" s="2"/>
      <c r="D112" s="2"/>
      <c r="E112" s="2"/>
      <c r="F112" s="2"/>
      <c r="G112" s="2"/>
      <c r="H112" s="2"/>
      <c r="I112" s="2"/>
      <c r="J112" s="767"/>
      <c r="K112" s="2"/>
      <c r="L112" s="2"/>
      <c r="M112" s="2"/>
      <c r="N112" s="2"/>
      <c r="O112" s="2"/>
      <c r="P112" s="2"/>
      <c r="Q112" s="2"/>
      <c r="R112" s="2"/>
      <c r="S112" s="2"/>
      <c r="T112" s="7"/>
      <c r="U112" s="7"/>
      <c r="V112" s="7"/>
      <c r="W112" s="7"/>
      <c r="X112" s="7"/>
      <c r="Y112" s="7"/>
      <c r="Z112" s="8"/>
      <c r="AA112" s="8"/>
    </row>
    <row r="113" spans="1:27">
      <c r="A113" s="26" t="s">
        <v>53</v>
      </c>
      <c r="B113" s="20"/>
      <c r="C113" s="65"/>
      <c r="D113" s="65"/>
      <c r="E113" s="14"/>
      <c r="F113" s="14"/>
      <c r="G113" s="14"/>
      <c r="H113" s="14"/>
      <c r="I113" s="14"/>
      <c r="J113" s="14"/>
      <c r="K113" s="14"/>
      <c r="L113" s="14"/>
      <c r="M113" s="14"/>
      <c r="N113" s="28" t="s">
        <v>41</v>
      </c>
      <c r="O113" s="14"/>
      <c r="P113" s="14"/>
      <c r="Q113" s="14"/>
      <c r="R113" s="28"/>
      <c r="S113" s="28"/>
      <c r="T113" s="28"/>
      <c r="U113" s="28"/>
      <c r="V113" s="14"/>
      <c r="W113" s="14"/>
      <c r="X113" s="14"/>
      <c r="Y113" s="14"/>
      <c r="Z113" s="1047" t="s">
        <v>8</v>
      </c>
      <c r="AA113" s="1048"/>
    </row>
    <row r="114" spans="1:27" ht="11.25" customHeight="1" thickBot="1">
      <c r="A114" s="524"/>
      <c r="B114" s="19"/>
      <c r="C114" s="952" t="s">
        <v>52</v>
      </c>
      <c r="D114" s="951"/>
      <c r="E114" s="1052" t="s">
        <v>108</v>
      </c>
      <c r="F114" s="1084"/>
      <c r="G114" s="1084"/>
      <c r="H114" s="1084"/>
      <c r="I114" s="1084"/>
      <c r="J114" s="1084"/>
      <c r="K114" s="928"/>
      <c r="L114" s="1052" t="str">
        <f>L53</f>
        <v>О Б Е Д</v>
      </c>
      <c r="M114" s="1052"/>
      <c r="N114" s="1052"/>
      <c r="O114" s="1052"/>
      <c r="P114" s="1052"/>
      <c r="Q114" s="1052"/>
      <c r="R114" s="1052"/>
      <c r="S114" s="1052"/>
      <c r="T114" s="1052"/>
      <c r="U114" s="928"/>
      <c r="V114" s="1052" t="str">
        <f>V19</f>
        <v>П О Л Д Н И К</v>
      </c>
      <c r="W114" s="1052"/>
      <c r="X114" s="1052"/>
      <c r="Y114" s="1052"/>
      <c r="Z114" s="1062" t="s">
        <v>3</v>
      </c>
      <c r="AA114" s="1059"/>
    </row>
    <row r="115" spans="1:27" ht="7.5" hidden="1" customHeight="1">
      <c r="A115" s="523"/>
      <c r="B115" s="5"/>
      <c r="C115" s="5" t="s">
        <v>51</v>
      </c>
      <c r="D115" s="644"/>
      <c r="E115" s="1054"/>
      <c r="F115" s="1054"/>
      <c r="G115" s="1054"/>
      <c r="H115" s="1054"/>
      <c r="I115" s="1054"/>
      <c r="J115" s="1055"/>
      <c r="K115" s="517"/>
      <c r="L115" s="1054"/>
      <c r="M115" s="1054"/>
      <c r="N115" s="1054"/>
      <c r="O115" s="1054"/>
      <c r="P115" s="1054"/>
      <c r="Q115" s="1054"/>
      <c r="R115" s="1054"/>
      <c r="S115" s="1054"/>
      <c r="T115" s="1054"/>
      <c r="U115" s="929"/>
      <c r="V115" s="1054"/>
      <c r="W115" s="1054"/>
      <c r="X115" s="1054"/>
      <c r="Y115" s="1054"/>
      <c r="Z115" s="1047" t="s">
        <v>36</v>
      </c>
      <c r="AA115" s="1048"/>
    </row>
    <row r="116" spans="1:27" ht="12.75" customHeight="1">
      <c r="A116" s="523" t="s">
        <v>54</v>
      </c>
      <c r="B116" s="5"/>
      <c r="C116" s="70" t="s">
        <v>9</v>
      </c>
      <c r="D116" s="1101" t="s">
        <v>168</v>
      </c>
      <c r="E116" s="1081" t="s">
        <v>169</v>
      </c>
      <c r="F116" s="1041" t="s">
        <v>126</v>
      </c>
      <c r="G116" s="1096"/>
      <c r="H116" s="1041" t="s">
        <v>118</v>
      </c>
      <c r="I116" s="1038"/>
      <c r="J116" s="1044" t="s">
        <v>62</v>
      </c>
      <c r="K116" s="1041" t="s">
        <v>225</v>
      </c>
      <c r="L116" s="783" t="s">
        <v>69</v>
      </c>
      <c r="M116" s="930"/>
      <c r="N116" s="930"/>
      <c r="O116" s="1038" t="s">
        <v>273</v>
      </c>
      <c r="P116" s="1078" t="s">
        <v>274</v>
      </c>
      <c r="Q116" s="1258"/>
      <c r="R116" s="1041" t="s">
        <v>174</v>
      </c>
      <c r="S116" s="1044" t="s">
        <v>106</v>
      </c>
      <c r="T116" s="1044" t="s">
        <v>68</v>
      </c>
      <c r="U116" s="920"/>
      <c r="V116" s="1123"/>
      <c r="W116" s="1123"/>
      <c r="X116" s="1044" t="s">
        <v>298</v>
      </c>
      <c r="Y116" s="1038" t="s">
        <v>70</v>
      </c>
      <c r="Z116" s="24"/>
      <c r="AA116" s="525"/>
    </row>
    <row r="117" spans="1:27">
      <c r="A117" s="523"/>
      <c r="B117" s="5"/>
      <c r="C117" s="70" t="s">
        <v>10</v>
      </c>
      <c r="D117" s="1102"/>
      <c r="E117" s="1082"/>
      <c r="F117" s="1042"/>
      <c r="G117" s="1098"/>
      <c r="H117" s="1042"/>
      <c r="I117" s="1039"/>
      <c r="J117" s="1045"/>
      <c r="K117" s="1042"/>
      <c r="L117" s="782"/>
      <c r="M117" s="662"/>
      <c r="N117" s="932"/>
      <c r="O117" s="1039"/>
      <c r="P117" s="1079"/>
      <c r="Q117" s="1259"/>
      <c r="R117" s="1042"/>
      <c r="S117" s="1194"/>
      <c r="T117" s="1045"/>
      <c r="U117" s="921"/>
      <c r="V117" s="1124"/>
      <c r="W117" s="1124"/>
      <c r="X117" s="1045"/>
      <c r="Y117" s="1039"/>
      <c r="Z117" s="19" t="s">
        <v>6</v>
      </c>
      <c r="AA117" s="522" t="s">
        <v>4</v>
      </c>
    </row>
    <row r="118" spans="1:27" ht="88.5" customHeight="1">
      <c r="A118" s="529"/>
      <c r="B118" s="4"/>
      <c r="C118" s="71"/>
      <c r="D118" s="1103"/>
      <c r="E118" s="1083"/>
      <c r="F118" s="1043"/>
      <c r="G118" s="1100"/>
      <c r="H118" s="1043"/>
      <c r="I118" s="1040"/>
      <c r="J118" s="1046"/>
      <c r="K118" s="1043"/>
      <c r="L118" s="934" t="s">
        <v>123</v>
      </c>
      <c r="M118" s="933" t="s">
        <v>271</v>
      </c>
      <c r="N118" s="933" t="s">
        <v>272</v>
      </c>
      <c r="O118" s="1040"/>
      <c r="P118" s="1080"/>
      <c r="Q118" s="1260"/>
      <c r="R118" s="1043"/>
      <c r="S118" s="1195"/>
      <c r="T118" s="1046"/>
      <c r="U118" s="922" t="s">
        <v>275</v>
      </c>
      <c r="V118" s="1125"/>
      <c r="W118" s="1125"/>
      <c r="X118" s="1046"/>
      <c r="Y118" s="1040"/>
      <c r="Z118" s="4" t="s">
        <v>7</v>
      </c>
      <c r="AA118" s="519" t="s">
        <v>5</v>
      </c>
    </row>
    <row r="119" spans="1:27" ht="11.25" customHeight="1">
      <c r="A119" s="64">
        <v>1</v>
      </c>
      <c r="B119" s="947">
        <v>2</v>
      </c>
      <c r="C119" s="72">
        <v>3</v>
      </c>
      <c r="D119" s="943">
        <v>4</v>
      </c>
      <c r="E119" s="80">
        <v>5</v>
      </c>
      <c r="F119" s="86">
        <v>6</v>
      </c>
      <c r="G119" s="943">
        <v>7</v>
      </c>
      <c r="H119" s="87">
        <v>8</v>
      </c>
      <c r="I119" s="80">
        <v>9</v>
      </c>
      <c r="J119" s="95">
        <v>10</v>
      </c>
      <c r="K119" s="96">
        <v>11</v>
      </c>
      <c r="L119" s="80">
        <v>12</v>
      </c>
      <c r="M119" s="80">
        <v>13</v>
      </c>
      <c r="N119" s="80">
        <v>14</v>
      </c>
      <c r="O119" s="80">
        <v>15</v>
      </c>
      <c r="P119" s="97">
        <v>16</v>
      </c>
      <c r="Q119" s="93">
        <v>17</v>
      </c>
      <c r="R119" s="96">
        <v>18</v>
      </c>
      <c r="S119" s="96">
        <v>19</v>
      </c>
      <c r="T119" s="98">
        <v>20</v>
      </c>
      <c r="U119" s="262">
        <v>21</v>
      </c>
      <c r="V119" s="96">
        <v>22</v>
      </c>
      <c r="W119" s="96">
        <v>23</v>
      </c>
      <c r="X119" s="81">
        <v>24</v>
      </c>
      <c r="Y119" s="96">
        <v>25</v>
      </c>
      <c r="Z119" s="35">
        <v>26</v>
      </c>
      <c r="AA119" s="942">
        <v>27</v>
      </c>
    </row>
    <row r="120" spans="1:27" ht="15.75">
      <c r="A120" s="16" t="s">
        <v>18</v>
      </c>
      <c r="B120" s="221">
        <v>100</v>
      </c>
      <c r="C120" s="73"/>
      <c r="D120" s="781">
        <f>F120</f>
        <v>100</v>
      </c>
      <c r="E120" s="99">
        <f>B120</f>
        <v>100</v>
      </c>
      <c r="F120" s="222">
        <v>100</v>
      </c>
      <c r="G120" s="99">
        <f>B120</f>
        <v>100</v>
      </c>
      <c r="H120" s="89">
        <f>F120</f>
        <v>100</v>
      </c>
      <c r="I120" s="99">
        <f>B120</f>
        <v>100</v>
      </c>
      <c r="J120" s="99">
        <f>B120</f>
        <v>100</v>
      </c>
      <c r="K120" s="99">
        <f>B120</f>
        <v>100</v>
      </c>
      <c r="L120" s="99">
        <f>B120</f>
        <v>100</v>
      </c>
      <c r="M120" s="99">
        <f>B120</f>
        <v>100</v>
      </c>
      <c r="N120" s="99">
        <f>B120</f>
        <v>100</v>
      </c>
      <c r="O120" s="99">
        <f>B120</f>
        <v>100</v>
      </c>
      <c r="P120" s="109">
        <f>F120</f>
        <v>100</v>
      </c>
      <c r="Q120" s="99">
        <f>B120</f>
        <v>100</v>
      </c>
      <c r="R120" s="99">
        <f>B120</f>
        <v>100</v>
      </c>
      <c r="S120" s="99">
        <f>B120</f>
        <v>100</v>
      </c>
      <c r="T120" s="99">
        <f>B120</f>
        <v>100</v>
      </c>
      <c r="U120" s="677">
        <f>F120</f>
        <v>100</v>
      </c>
      <c r="V120" s="692">
        <f>B120</f>
        <v>100</v>
      </c>
      <c r="W120" s="99"/>
      <c r="X120" s="99">
        <f>B120</f>
        <v>100</v>
      </c>
      <c r="Y120" s="99">
        <f>B120</f>
        <v>100</v>
      </c>
      <c r="Z120" s="12" t="s">
        <v>66</v>
      </c>
      <c r="AA120" s="68" t="s">
        <v>64</v>
      </c>
    </row>
    <row r="121" spans="1:27" ht="16.5" thickBot="1">
      <c r="A121" s="59" t="s">
        <v>19</v>
      </c>
      <c r="B121" s="60"/>
      <c r="C121" s="74"/>
      <c r="D121" s="663">
        <v>25</v>
      </c>
      <c r="E121" s="119">
        <f>D121*D120/B120</f>
        <v>25</v>
      </c>
      <c r="F121" s="138">
        <v>150</v>
      </c>
      <c r="G121" s="119">
        <f>F121*F120/B120</f>
        <v>150</v>
      </c>
      <c r="H121" s="138">
        <v>150</v>
      </c>
      <c r="I121" s="119">
        <f>H121*H120/B120</f>
        <v>150</v>
      </c>
      <c r="J121" s="119">
        <f>J165/B120*1000</f>
        <v>10</v>
      </c>
      <c r="K121" s="119">
        <f>K171/B120*1000</f>
        <v>20</v>
      </c>
      <c r="L121" s="119">
        <f>L145/B120*1000</f>
        <v>150</v>
      </c>
      <c r="M121" s="119">
        <v>30</v>
      </c>
      <c r="N121" s="119">
        <f>N139/B120/1.835*1000</f>
        <v>19.999999999999996</v>
      </c>
      <c r="O121" s="119">
        <v>160</v>
      </c>
      <c r="P121" s="111">
        <v>60</v>
      </c>
      <c r="Q121" s="119">
        <f>P121*P120/B120</f>
        <v>60</v>
      </c>
      <c r="R121" s="100">
        <v>150</v>
      </c>
      <c r="S121" s="100">
        <v>110</v>
      </c>
      <c r="T121" s="119">
        <f>T167/B120*1000</f>
        <v>30</v>
      </c>
      <c r="U121" s="437">
        <v>80</v>
      </c>
      <c r="V121" s="119">
        <f>U121*U120/B120</f>
        <v>80</v>
      </c>
      <c r="W121" s="119"/>
      <c r="X121" s="119">
        <f>X173/B120/1.028*1000</f>
        <v>149.80544747081711</v>
      </c>
      <c r="Y121" s="119">
        <f>Y169/B120*1000</f>
        <v>10</v>
      </c>
      <c r="Z121" s="61"/>
      <c r="AA121" s="69"/>
    </row>
    <row r="122" spans="1:27" ht="15" customHeight="1" thickTop="1">
      <c r="A122" s="133"/>
      <c r="B122" s="5" t="s">
        <v>65</v>
      </c>
      <c r="C122" s="77" t="s">
        <v>72</v>
      </c>
      <c r="D122" s="293"/>
      <c r="E122" s="88"/>
      <c r="F122" s="92"/>
      <c r="G122" s="88"/>
      <c r="H122" s="107"/>
      <c r="I122" s="597"/>
      <c r="J122" s="88"/>
      <c r="K122" s="88"/>
      <c r="L122" s="88"/>
      <c r="M122" s="88"/>
      <c r="N122" s="88"/>
      <c r="O122" s="88"/>
      <c r="P122" s="108">
        <f>47/60*P121</f>
        <v>47</v>
      </c>
      <c r="Q122" s="129">
        <f>P122/P121*Q121</f>
        <v>47</v>
      </c>
      <c r="R122" s="88"/>
      <c r="S122" s="88"/>
      <c r="T122" s="88"/>
      <c r="U122" s="263"/>
      <c r="V122" s="88"/>
      <c r="W122" s="88"/>
      <c r="X122" s="88"/>
      <c r="Y122" s="88"/>
      <c r="Z122" s="78"/>
      <c r="AA122" s="79"/>
    </row>
    <row r="123" spans="1:27" ht="15.75" customHeight="1" thickBot="1">
      <c r="A123" s="346" t="str">
        <f>A28</f>
        <v>Фарш гов.</v>
      </c>
      <c r="B123" s="347">
        <f>B28</f>
        <v>288</v>
      </c>
      <c r="C123" s="348" t="s">
        <v>73</v>
      </c>
      <c r="D123" s="423"/>
      <c r="E123" s="350"/>
      <c r="F123" s="363"/>
      <c r="G123" s="350"/>
      <c r="H123" s="349"/>
      <c r="I123" s="350"/>
      <c r="J123" s="350"/>
      <c r="K123" s="350"/>
      <c r="L123" s="350"/>
      <c r="M123" s="350"/>
      <c r="N123" s="350"/>
      <c r="O123" s="350"/>
      <c r="P123" s="349">
        <f>P122*P120/1000</f>
        <v>4.7</v>
      </c>
      <c r="Q123" s="341">
        <f>ROUND(P123,2)</f>
        <v>4.7</v>
      </c>
      <c r="R123" s="350"/>
      <c r="S123" s="350"/>
      <c r="T123" s="350"/>
      <c r="U123" s="360"/>
      <c r="V123" s="350"/>
      <c r="W123" s="350"/>
      <c r="X123" s="350"/>
      <c r="Y123" s="350"/>
      <c r="Z123" s="343">
        <f>ROUND(E123+G123+I123+J123+K123+L123+M123+N123+O123+Q123+R123+S123+T123+V123+W123+X123+Y123,2)</f>
        <v>4.7</v>
      </c>
      <c r="AA123" s="368">
        <f>Z123*B123</f>
        <v>1353.6000000000001</v>
      </c>
    </row>
    <row r="124" spans="1:27" ht="15" customHeight="1" thickTop="1">
      <c r="A124" s="133"/>
      <c r="B124" s="88"/>
      <c r="C124" s="77" t="s">
        <v>72</v>
      </c>
      <c r="D124" s="430">
        <v>5</v>
      </c>
      <c r="E124" s="129">
        <f>D124/D121*E121</f>
        <v>5</v>
      </c>
      <c r="F124" s="430">
        <v>1.5</v>
      </c>
      <c r="G124" s="129">
        <f>F124/F121*G121</f>
        <v>1.5</v>
      </c>
      <c r="H124" s="430"/>
      <c r="I124" s="129"/>
      <c r="J124" s="88"/>
      <c r="K124" s="88"/>
      <c r="L124" s="500"/>
      <c r="M124" s="500"/>
      <c r="N124" s="129"/>
      <c r="O124" s="131"/>
      <c r="P124" s="108"/>
      <c r="Q124" s="129"/>
      <c r="R124" s="88"/>
      <c r="S124" s="131">
        <v>2</v>
      </c>
      <c r="T124" s="88"/>
      <c r="U124" s="430">
        <f>4/80*U121</f>
        <v>4</v>
      </c>
      <c r="V124" s="129">
        <f>U124/U121*V121</f>
        <v>4</v>
      </c>
      <c r="W124" s="129"/>
      <c r="X124" s="88"/>
      <c r="Y124" s="88"/>
      <c r="Z124" s="210"/>
      <c r="AA124" s="123"/>
    </row>
    <row r="125" spans="1:27" ht="16.5" thickBot="1">
      <c r="A125" s="346" t="str">
        <f>A30</f>
        <v>Масло слив.</v>
      </c>
      <c r="B125" s="347">
        <f>B30</f>
        <v>595</v>
      </c>
      <c r="C125" s="348" t="s">
        <v>73</v>
      </c>
      <c r="D125" s="363">
        <f>D124*D120/1000</f>
        <v>0.5</v>
      </c>
      <c r="E125" s="341">
        <f>ROUND(D125,2)</f>
        <v>0.5</v>
      </c>
      <c r="F125" s="363">
        <f>F124*F120/1000</f>
        <v>0.15</v>
      </c>
      <c r="G125" s="341">
        <f>ROUND(F125,2)</f>
        <v>0.15</v>
      </c>
      <c r="H125" s="363"/>
      <c r="I125" s="350"/>
      <c r="J125" s="350"/>
      <c r="K125" s="350"/>
      <c r="L125" s="501"/>
      <c r="M125" s="501"/>
      <c r="N125" s="350"/>
      <c r="O125" s="350"/>
      <c r="P125" s="349"/>
      <c r="Q125" s="350"/>
      <c r="R125" s="350"/>
      <c r="S125" s="341">
        <f>ROUND(S124*G120/1000,2)</f>
        <v>0.2</v>
      </c>
      <c r="T125" s="350"/>
      <c r="U125" s="363">
        <f>U124*U120/1000</f>
        <v>0.4</v>
      </c>
      <c r="V125" s="341">
        <f>ROUND(U125,2)</f>
        <v>0.4</v>
      </c>
      <c r="W125" s="341">
        <f>W124*B120/1000</f>
        <v>0</v>
      </c>
      <c r="X125" s="350"/>
      <c r="Y125" s="350"/>
      <c r="Z125" s="343">
        <f>ROUND(E125+G125+I125+J125+K125+L125+M125+N125+O125+Q125+R125+S125+T125+V125+W125+X125+Y125,2)</f>
        <v>1.25</v>
      </c>
      <c r="AA125" s="344">
        <f>Z125*B125</f>
        <v>743.75</v>
      </c>
    </row>
    <row r="126" spans="1:27" ht="15" customHeight="1" thickTop="1">
      <c r="A126" s="133"/>
      <c r="B126" s="88"/>
      <c r="C126" s="77" t="s">
        <v>72</v>
      </c>
      <c r="D126" s="184"/>
      <c r="E126" s="88"/>
      <c r="F126" s="107"/>
      <c r="G126" s="88"/>
      <c r="H126" s="108"/>
      <c r="I126" s="88"/>
      <c r="J126" s="88"/>
      <c r="K126" s="88"/>
      <c r="L126" s="131"/>
      <c r="M126" s="131"/>
      <c r="N126" s="131"/>
      <c r="O126" s="131">
        <v>1.6</v>
      </c>
      <c r="P126" s="108">
        <f>3/60*P121</f>
        <v>3</v>
      </c>
      <c r="Q126" s="129">
        <f>P126/P121*Q121</f>
        <v>3</v>
      </c>
      <c r="R126" s="88"/>
      <c r="S126" s="131">
        <v>3.3</v>
      </c>
      <c r="T126" s="88"/>
      <c r="U126" s="430"/>
      <c r="V126" s="129"/>
      <c r="W126" s="129"/>
      <c r="X126" s="88"/>
      <c r="Y126" s="88"/>
      <c r="Z126" s="210"/>
      <c r="AA126" s="123"/>
    </row>
    <row r="127" spans="1:27" ht="16.5" thickBot="1">
      <c r="A127" s="346" t="str">
        <f>A32</f>
        <v>Масло раст.</v>
      </c>
      <c r="B127" s="347">
        <f>B32</f>
        <v>104.42</v>
      </c>
      <c r="C127" s="348" t="s">
        <v>73</v>
      </c>
      <c r="D127" s="423"/>
      <c r="E127" s="350"/>
      <c r="F127" s="363"/>
      <c r="G127" s="350"/>
      <c r="H127" s="349"/>
      <c r="I127" s="350"/>
      <c r="J127" s="350"/>
      <c r="K127" s="350"/>
      <c r="L127" s="350"/>
      <c r="M127" s="341"/>
      <c r="N127" s="350"/>
      <c r="O127" s="341">
        <f>O126*B120/1000</f>
        <v>0.16</v>
      </c>
      <c r="P127" s="349">
        <f>P126*P120/1000</f>
        <v>0.3</v>
      </c>
      <c r="Q127" s="341">
        <f>P127</f>
        <v>0.3</v>
      </c>
      <c r="R127" s="350"/>
      <c r="S127" s="339">
        <f>S126*B120/1000</f>
        <v>0.33</v>
      </c>
      <c r="T127" s="350"/>
      <c r="U127" s="363"/>
      <c r="V127" s="341"/>
      <c r="W127" s="341"/>
      <c r="X127" s="350"/>
      <c r="Y127" s="350"/>
      <c r="Z127" s="343">
        <f>ROUND(E127+G127+I127+J127+K127+L127+M127+N127+O127+Q127+R127+S127+T127+V127+W127+X127+Y127,2)</f>
        <v>0.79</v>
      </c>
      <c r="AA127" s="344">
        <f>Z127*B127</f>
        <v>82.491800000000012</v>
      </c>
    </row>
    <row r="128" spans="1:27" ht="15" customHeight="1" thickTop="1">
      <c r="A128" s="133"/>
      <c r="B128" s="88"/>
      <c r="C128" s="77" t="s">
        <v>72</v>
      </c>
      <c r="D128" s="184"/>
      <c r="E128" s="88"/>
      <c r="F128" s="107">
        <v>105</v>
      </c>
      <c r="G128" s="129">
        <f>F128/F121*G121</f>
        <v>105</v>
      </c>
      <c r="H128" s="430">
        <v>75</v>
      </c>
      <c r="I128" s="129">
        <f>H128/H121*I121</f>
        <v>75</v>
      </c>
      <c r="J128" s="129"/>
      <c r="K128" s="88"/>
      <c r="L128" s="500"/>
      <c r="M128" s="500"/>
      <c r="N128" s="129"/>
      <c r="O128" s="131"/>
      <c r="P128" s="108">
        <f>9/60*P121</f>
        <v>9</v>
      </c>
      <c r="Q128" s="129">
        <f>P128/P121*Q121</f>
        <v>9</v>
      </c>
      <c r="R128" s="88"/>
      <c r="S128" s="88"/>
      <c r="T128" s="88"/>
      <c r="U128" s="430">
        <f>23/80*U121</f>
        <v>23</v>
      </c>
      <c r="V128" s="129">
        <f>U128/U121*V121</f>
        <v>23</v>
      </c>
      <c r="W128" s="129"/>
      <c r="X128" s="114"/>
      <c r="Y128" s="88"/>
      <c r="Z128" s="210"/>
      <c r="AA128" s="123"/>
    </row>
    <row r="129" spans="1:27" ht="16.5" thickBot="1">
      <c r="A129" s="346" t="str">
        <f>A34</f>
        <v>Молоко св.</v>
      </c>
      <c r="B129" s="347">
        <f>B34</f>
        <v>67.8</v>
      </c>
      <c r="C129" s="348" t="s">
        <v>73</v>
      </c>
      <c r="D129" s="423"/>
      <c r="E129" s="350"/>
      <c r="F129" s="363">
        <f>F128*F120/1000</f>
        <v>10.5</v>
      </c>
      <c r="G129" s="365">
        <f>F129</f>
        <v>10.5</v>
      </c>
      <c r="H129" s="363">
        <f>H128*H120/1000</f>
        <v>7.5</v>
      </c>
      <c r="I129" s="365">
        <f>H129</f>
        <v>7.5</v>
      </c>
      <c r="J129" s="590"/>
      <c r="K129" s="350"/>
      <c r="L129" s="501"/>
      <c r="M129" s="501"/>
      <c r="N129" s="421"/>
      <c r="O129" s="350"/>
      <c r="P129" s="349">
        <f>P128*P120/1000</f>
        <v>0.9</v>
      </c>
      <c r="Q129" s="422">
        <f>P129</f>
        <v>0.9</v>
      </c>
      <c r="R129" s="350"/>
      <c r="S129" s="350"/>
      <c r="T129" s="350"/>
      <c r="U129" s="363">
        <f>U128*U120/1000</f>
        <v>2.2999999999999998</v>
      </c>
      <c r="V129" s="341">
        <f>ROUND(U129,2)</f>
        <v>2.2999999999999998</v>
      </c>
      <c r="W129" s="350"/>
      <c r="X129" s="618"/>
      <c r="Y129" s="350"/>
      <c r="Z129" s="356">
        <f>ROUND(E129+G129+I129+J129+K129+L129+M129+N129+O129+Q129+R129+S129+T129+V129+W129+X129+Y129,3)</f>
        <v>21.2</v>
      </c>
      <c r="AA129" s="344">
        <f>Z129*B129</f>
        <v>1437.36</v>
      </c>
    </row>
    <row r="130" spans="1:27" ht="15.75" customHeight="1" thickTop="1">
      <c r="A130" s="133"/>
      <c r="B130" s="88"/>
      <c r="C130" s="77" t="s">
        <v>72</v>
      </c>
      <c r="D130" s="184"/>
      <c r="E130" s="88"/>
      <c r="F130" s="430">
        <v>9</v>
      </c>
      <c r="G130" s="129">
        <f>F130/F121*G121</f>
        <v>9</v>
      </c>
      <c r="H130" s="108"/>
      <c r="I130" s="88"/>
      <c r="J130" s="244"/>
      <c r="K130" s="88"/>
      <c r="L130" s="88"/>
      <c r="M130" s="88"/>
      <c r="N130" s="88"/>
      <c r="O130" s="129"/>
      <c r="P130" s="108"/>
      <c r="Q130" s="88"/>
      <c r="R130" s="88"/>
      <c r="S130" s="88"/>
      <c r="T130" s="88"/>
      <c r="U130" s="263"/>
      <c r="V130" s="129"/>
      <c r="W130" s="129"/>
      <c r="X130" s="88"/>
      <c r="Y130" s="88"/>
      <c r="Z130" s="210"/>
      <c r="AA130" s="123"/>
    </row>
    <row r="131" spans="1:27" ht="16.5" thickBot="1">
      <c r="A131" s="346" t="str">
        <f>A36</f>
        <v>Крупа рис</v>
      </c>
      <c r="B131" s="347">
        <f>B36</f>
        <v>81.92</v>
      </c>
      <c r="C131" s="348" t="s">
        <v>73</v>
      </c>
      <c r="D131" s="423"/>
      <c r="E131" s="350"/>
      <c r="F131" s="363">
        <f>F130*F120/1000</f>
        <v>0.9</v>
      </c>
      <c r="G131" s="341">
        <f>F131</f>
        <v>0.9</v>
      </c>
      <c r="H131" s="349"/>
      <c r="I131" s="350"/>
      <c r="J131" s="350"/>
      <c r="K131" s="350"/>
      <c r="L131" s="350"/>
      <c r="M131" s="350"/>
      <c r="N131" s="350"/>
      <c r="O131" s="341"/>
      <c r="P131" s="349"/>
      <c r="Q131" s="350"/>
      <c r="R131" s="350"/>
      <c r="S131" s="350"/>
      <c r="T131" s="350"/>
      <c r="U131" s="360"/>
      <c r="V131" s="350"/>
      <c r="W131" s="350"/>
      <c r="X131" s="350"/>
      <c r="Y131" s="350"/>
      <c r="Z131" s="343">
        <f>ROUND(E131+G131+I131+J131+K131+L131+M131+N131+O131+Q131+R131+S131+T131+V131+W131+X131+Y131,2)</f>
        <v>0.9</v>
      </c>
      <c r="AA131" s="344">
        <f>Z131*B131</f>
        <v>73.728000000000009</v>
      </c>
    </row>
    <row r="132" spans="1:27" ht="15" customHeight="1" thickTop="1">
      <c r="A132" s="133"/>
      <c r="B132" s="88"/>
      <c r="C132" s="77" t="s">
        <v>72</v>
      </c>
      <c r="D132" s="184"/>
      <c r="E132" s="88"/>
      <c r="F132" s="430"/>
      <c r="G132" s="129"/>
      <c r="H132" s="108"/>
      <c r="I132" s="88"/>
      <c r="J132" s="88"/>
      <c r="K132" s="88"/>
      <c r="L132" s="88"/>
      <c r="M132" s="88"/>
      <c r="N132" s="88"/>
      <c r="O132" s="88"/>
      <c r="P132" s="430"/>
      <c r="Q132" s="129"/>
      <c r="R132" s="88"/>
      <c r="S132" s="88"/>
      <c r="T132" s="88"/>
      <c r="U132" s="430">
        <f>60/80*U121</f>
        <v>60</v>
      </c>
      <c r="V132" s="129">
        <f>U132/U121*V121</f>
        <v>60</v>
      </c>
      <c r="W132" s="129"/>
      <c r="X132" s="88"/>
      <c r="Y132" s="88"/>
      <c r="Z132" s="210"/>
      <c r="AA132" s="123"/>
    </row>
    <row r="133" spans="1:27" ht="16.5" thickBot="1">
      <c r="A133" s="346" t="str">
        <f>A38</f>
        <v>Яйцо</v>
      </c>
      <c r="B133" s="347">
        <f>B38</f>
        <v>10</v>
      </c>
      <c r="C133" s="348" t="s">
        <v>74</v>
      </c>
      <c r="D133" s="423"/>
      <c r="E133" s="350"/>
      <c r="F133" s="530"/>
      <c r="G133" s="386"/>
      <c r="H133" s="349"/>
      <c r="I133" s="350"/>
      <c r="J133" s="350"/>
      <c r="K133" s="350"/>
      <c r="L133" s="350"/>
      <c r="M133" s="350"/>
      <c r="N133" s="350"/>
      <c r="O133" s="350"/>
      <c r="P133" s="530"/>
      <c r="Q133" s="386"/>
      <c r="R133" s="350"/>
      <c r="S133" s="350"/>
      <c r="T133" s="350"/>
      <c r="U133" s="530">
        <f>ROUND(U132*U120/48,0)</f>
        <v>125</v>
      </c>
      <c r="V133" s="470">
        <f>U133</f>
        <v>125</v>
      </c>
      <c r="W133" s="341"/>
      <c r="X133" s="350"/>
      <c r="Y133" s="350"/>
      <c r="Z133" s="472">
        <f>ROUND(E133+G133+I133+J133+K133+L133+M133+N133+O133+Q133+R133+S133+T133+V133+W133+X133+Y133,0)</f>
        <v>125</v>
      </c>
      <c r="AA133" s="344">
        <f>Z133*B133</f>
        <v>1250</v>
      </c>
    </row>
    <row r="134" spans="1:27" ht="15" customHeight="1" thickTop="1">
      <c r="A134" s="133"/>
      <c r="B134" s="88"/>
      <c r="C134" s="77" t="s">
        <v>72</v>
      </c>
      <c r="D134" s="184"/>
      <c r="E134" s="88"/>
      <c r="F134" s="430"/>
      <c r="G134" s="129"/>
      <c r="H134" s="430"/>
      <c r="I134" s="113"/>
      <c r="J134" s="88"/>
      <c r="K134" s="88"/>
      <c r="L134" s="500"/>
      <c r="M134" s="500"/>
      <c r="N134" s="129"/>
      <c r="O134" s="88"/>
      <c r="P134" s="108">
        <f>6/60*P121</f>
        <v>6</v>
      </c>
      <c r="Q134" s="129">
        <f>P134/P121*Q121</f>
        <v>6</v>
      </c>
      <c r="R134" s="88"/>
      <c r="S134" s="131">
        <v>1.5</v>
      </c>
      <c r="T134" s="88"/>
      <c r="U134" s="430"/>
      <c r="V134" s="129"/>
      <c r="W134" s="129"/>
      <c r="X134" s="88"/>
      <c r="Y134" s="88"/>
      <c r="Z134" s="210"/>
      <c r="AA134" s="123"/>
    </row>
    <row r="135" spans="1:27" ht="16.5" thickBot="1">
      <c r="A135" s="346" t="str">
        <f>A40</f>
        <v>Мука пшен.</v>
      </c>
      <c r="B135" s="347">
        <f>B40</f>
        <v>29.08</v>
      </c>
      <c r="C135" s="348" t="s">
        <v>73</v>
      </c>
      <c r="D135" s="423"/>
      <c r="E135" s="350"/>
      <c r="F135" s="363"/>
      <c r="G135" s="350"/>
      <c r="H135" s="363"/>
      <c r="I135" s="350"/>
      <c r="J135" s="350"/>
      <c r="K135" s="350"/>
      <c r="L135" s="501"/>
      <c r="M135" s="501"/>
      <c r="N135" s="415"/>
      <c r="O135" s="350"/>
      <c r="P135" s="349">
        <f>P134*P120/1000</f>
        <v>0.6</v>
      </c>
      <c r="Q135" s="341">
        <f>P135</f>
        <v>0.6</v>
      </c>
      <c r="R135" s="350"/>
      <c r="S135" s="339">
        <f>S134*B120/1000</f>
        <v>0.15</v>
      </c>
      <c r="T135" s="350"/>
      <c r="U135" s="363"/>
      <c r="V135" s="341"/>
      <c r="W135" s="341"/>
      <c r="X135" s="350"/>
      <c r="Y135" s="350"/>
      <c r="Z135" s="343">
        <f>ROUND(E135+G135+I135+J135+K135+L135+M135+N135+O135+Q135+R135+S135+T135+V135+W135+X135+Y135,2)</f>
        <v>0.75</v>
      </c>
      <c r="AA135" s="344">
        <f>Z135*B135</f>
        <v>21.81</v>
      </c>
    </row>
    <row r="136" spans="1:27" ht="15" customHeight="1" thickTop="1">
      <c r="A136" s="133"/>
      <c r="B136" s="88"/>
      <c r="C136" s="77" t="s">
        <v>72</v>
      </c>
      <c r="D136" s="184"/>
      <c r="E136" s="88"/>
      <c r="F136" s="430"/>
      <c r="G136" s="129"/>
      <c r="H136" s="108"/>
      <c r="I136" s="88"/>
      <c r="J136" s="88"/>
      <c r="K136" s="88"/>
      <c r="L136" s="131"/>
      <c r="M136" s="131"/>
      <c r="N136" s="88"/>
      <c r="O136" s="88"/>
      <c r="P136" s="108"/>
      <c r="Q136" s="129"/>
      <c r="R136" s="88"/>
      <c r="S136" s="88"/>
      <c r="T136" s="88"/>
      <c r="U136" s="430"/>
      <c r="V136" s="129"/>
      <c r="W136" s="129"/>
      <c r="X136" s="88"/>
      <c r="Y136" s="88"/>
      <c r="Z136" s="210"/>
      <c r="AA136" s="123"/>
    </row>
    <row r="137" spans="1:27" ht="16.5" thickBot="1">
      <c r="A137" s="346">
        <f>A42</f>
        <v>0</v>
      </c>
      <c r="B137" s="347">
        <f>B42</f>
        <v>0</v>
      </c>
      <c r="C137" s="348" t="s">
        <v>73</v>
      </c>
      <c r="D137" s="423"/>
      <c r="E137" s="350"/>
      <c r="F137" s="363"/>
      <c r="G137" s="404"/>
      <c r="H137" s="349"/>
      <c r="I137" s="350"/>
      <c r="J137" s="350"/>
      <c r="K137" s="350"/>
      <c r="L137" s="350"/>
      <c r="M137" s="350"/>
      <c r="N137" s="350"/>
      <c r="O137" s="350"/>
      <c r="P137" s="349"/>
      <c r="Q137" s="341"/>
      <c r="R137" s="350"/>
      <c r="S137" s="350"/>
      <c r="T137" s="350"/>
      <c r="U137" s="363"/>
      <c r="V137" s="341"/>
      <c r="W137" s="341"/>
      <c r="X137" s="350"/>
      <c r="Y137" s="350"/>
      <c r="Z137" s="343">
        <f>ROUND(E137+G137+I137+J137+K137+L137+M137+N137+O137+Q137+R137+S137+T137+V137+W137+X137+Y137,2)</f>
        <v>0</v>
      </c>
      <c r="AA137" s="344">
        <f>Z137*B137</f>
        <v>0</v>
      </c>
    </row>
    <row r="138" spans="1:27" ht="15" customHeight="1" thickTop="1">
      <c r="A138" s="133"/>
      <c r="B138" s="88"/>
      <c r="C138" s="77" t="s">
        <v>72</v>
      </c>
      <c r="D138" s="184"/>
      <c r="E138" s="88"/>
      <c r="F138" s="177"/>
      <c r="G138" s="128"/>
      <c r="H138" s="108"/>
      <c r="I138" s="88"/>
      <c r="J138" s="88"/>
      <c r="K138" s="88"/>
      <c r="L138" s="88"/>
      <c r="M138" s="113"/>
      <c r="N138" s="113">
        <f>N139/B120*1000</f>
        <v>36.699999999999996</v>
      </c>
      <c r="O138" s="88"/>
      <c r="P138" s="108"/>
      <c r="Q138" s="88"/>
      <c r="R138" s="88"/>
      <c r="S138" s="88"/>
      <c r="T138" s="88"/>
      <c r="U138" s="430"/>
      <c r="V138" s="129"/>
      <c r="W138" s="113"/>
      <c r="X138" s="88"/>
      <c r="Y138" s="88"/>
      <c r="Z138" s="210"/>
      <c r="AA138" s="123"/>
    </row>
    <row r="139" spans="1:27" ht="16.5" thickBot="1">
      <c r="A139" s="634" t="str">
        <f>A44</f>
        <v>Минтай с/м потр.</v>
      </c>
      <c r="B139" s="347">
        <f>B44</f>
        <v>137.69999999999999</v>
      </c>
      <c r="C139" s="348" t="s">
        <v>73</v>
      </c>
      <c r="D139" s="423"/>
      <c r="E139" s="350"/>
      <c r="F139" s="349"/>
      <c r="G139" s="340"/>
      <c r="H139" s="349"/>
      <c r="I139" s="350"/>
      <c r="J139" s="350"/>
      <c r="K139" s="350"/>
      <c r="L139" s="350"/>
      <c r="M139" s="341"/>
      <c r="N139" s="341">
        <v>3.67</v>
      </c>
      <c r="O139" s="350"/>
      <c r="P139" s="349"/>
      <c r="Q139" s="350"/>
      <c r="R139" s="350"/>
      <c r="S139" s="350"/>
      <c r="T139" s="350"/>
      <c r="U139" s="363"/>
      <c r="V139" s="341"/>
      <c r="W139" s="341"/>
      <c r="X139" s="350"/>
      <c r="Y139" s="350"/>
      <c r="Z139" s="343">
        <f>ROUND(E139+G139+I139+J139+K139+L139+M139+N139+O139+Q139+R139+S139+T139+V139+W139+X139+Y139,2)</f>
        <v>3.67</v>
      </c>
      <c r="AA139" s="344">
        <f>Z139*B139</f>
        <v>505.35899999999992</v>
      </c>
    </row>
    <row r="140" spans="1:27" ht="15" customHeight="1" thickTop="1">
      <c r="A140" s="133"/>
      <c r="B140" s="88"/>
      <c r="C140" s="77" t="s">
        <v>72</v>
      </c>
      <c r="D140" s="184"/>
      <c r="E140" s="88"/>
      <c r="F140" s="430">
        <v>1.2</v>
      </c>
      <c r="G140" s="129">
        <f>F140/F121*G121</f>
        <v>1.2</v>
      </c>
      <c r="H140" s="430">
        <v>6</v>
      </c>
      <c r="I140" s="129">
        <f>H140/H121*I121</f>
        <v>6</v>
      </c>
      <c r="J140" s="129"/>
      <c r="K140" s="184"/>
      <c r="L140" s="500"/>
      <c r="M140" s="131">
        <v>1.5</v>
      </c>
      <c r="N140" s="129"/>
      <c r="O140" s="130"/>
      <c r="P140" s="108"/>
      <c r="Q140" s="88"/>
      <c r="R140" s="131">
        <v>8</v>
      </c>
      <c r="S140" s="131">
        <v>0.3</v>
      </c>
      <c r="T140" s="88"/>
      <c r="U140" s="430"/>
      <c r="V140" s="129"/>
      <c r="W140" s="129"/>
      <c r="X140" s="131"/>
      <c r="Y140" s="88"/>
      <c r="Z140" s="210"/>
      <c r="AA140" s="123"/>
    </row>
    <row r="141" spans="1:27" ht="16.5" thickBot="1">
      <c r="A141" s="346" t="str">
        <f>A46</f>
        <v>Сахар</v>
      </c>
      <c r="B141" s="347">
        <f>B46</f>
        <v>62.77</v>
      </c>
      <c r="C141" s="348" t="s">
        <v>73</v>
      </c>
      <c r="D141" s="423"/>
      <c r="E141" s="350"/>
      <c r="F141" s="363">
        <f>F140*F120/1000</f>
        <v>0.12</v>
      </c>
      <c r="G141" s="341">
        <f>ROUND(F141,2)</f>
        <v>0.12</v>
      </c>
      <c r="H141" s="363">
        <f>H140*H120/1000</f>
        <v>0.6</v>
      </c>
      <c r="I141" s="341">
        <f>ROUND(H141,2)</f>
        <v>0.6</v>
      </c>
      <c r="J141" s="404"/>
      <c r="K141" s="350"/>
      <c r="L141" s="501"/>
      <c r="M141" s="341">
        <f>M140*B120/1000</f>
        <v>0.15</v>
      </c>
      <c r="N141" s="350"/>
      <c r="O141" s="340"/>
      <c r="P141" s="349"/>
      <c r="Q141" s="350"/>
      <c r="R141" s="341">
        <f>ROUND(R140*B120/1000,2)</f>
        <v>0.8</v>
      </c>
      <c r="S141" s="339">
        <f>S140*B120/1000</f>
        <v>0.03</v>
      </c>
      <c r="T141" s="350"/>
      <c r="U141" s="363"/>
      <c r="V141" s="341"/>
      <c r="W141" s="341"/>
      <c r="X141" s="350"/>
      <c r="Y141" s="350"/>
      <c r="Z141" s="343">
        <f>ROUND(E141+G141+I141+J141+K141+L141+M141+N141+O141+Q141+R141+S141+T141+V141+W141+X141+Y141,2)</f>
        <v>1.7</v>
      </c>
      <c r="AA141" s="344">
        <f>Z141*B141</f>
        <v>106.709</v>
      </c>
    </row>
    <row r="142" spans="1:27" ht="15" customHeight="1" thickTop="1">
      <c r="A142" s="133"/>
      <c r="B142" s="88"/>
      <c r="C142" s="77" t="s">
        <v>72</v>
      </c>
      <c r="D142" s="184"/>
      <c r="E142" s="88"/>
      <c r="F142" s="107"/>
      <c r="G142" s="88"/>
      <c r="H142" s="108"/>
      <c r="I142" s="88"/>
      <c r="J142" s="88"/>
      <c r="K142" s="88"/>
      <c r="L142" s="88"/>
      <c r="M142" s="88"/>
      <c r="N142" s="88"/>
      <c r="O142" s="88"/>
      <c r="P142" s="108"/>
      <c r="Q142" s="88"/>
      <c r="R142" s="131">
        <v>18</v>
      </c>
      <c r="S142" s="131"/>
      <c r="T142" s="88"/>
      <c r="U142" s="426"/>
      <c r="V142" s="113"/>
      <c r="W142" s="113"/>
      <c r="X142" s="88"/>
      <c r="Y142" s="88"/>
      <c r="Z142" s="210"/>
      <c r="AA142" s="123"/>
    </row>
    <row r="143" spans="1:27" ht="16.5" thickBot="1">
      <c r="A143" s="346" t="str">
        <f>A48</f>
        <v>Апельсины</v>
      </c>
      <c r="B143" s="347">
        <f>B48</f>
        <v>200</v>
      </c>
      <c r="C143" s="348" t="s">
        <v>73</v>
      </c>
      <c r="D143" s="423"/>
      <c r="E143" s="350"/>
      <c r="F143" s="363"/>
      <c r="G143" s="350"/>
      <c r="H143" s="349"/>
      <c r="I143" s="350"/>
      <c r="J143" s="350"/>
      <c r="K143" s="350"/>
      <c r="L143" s="350"/>
      <c r="M143" s="350"/>
      <c r="N143" s="350"/>
      <c r="O143" s="350"/>
      <c r="P143" s="349"/>
      <c r="Q143" s="350"/>
      <c r="R143" s="341">
        <f>R142*B120/1000</f>
        <v>1.8</v>
      </c>
      <c r="S143" s="341"/>
      <c r="T143" s="350"/>
      <c r="U143" s="360"/>
      <c r="V143" s="350"/>
      <c r="W143" s="350"/>
      <c r="X143" s="350"/>
      <c r="Y143" s="350"/>
      <c r="Z143" s="343">
        <f>ROUND(E143+G143+I143+J143+K143+L143+M143+N143+O143+Q143+R143+S143+T143+V143+W143+X143+Y143,2)</f>
        <v>1.8</v>
      </c>
      <c r="AA143" s="344">
        <f>Z143*B143</f>
        <v>360</v>
      </c>
    </row>
    <row r="144" spans="1:27" ht="15" customHeight="1" thickTop="1">
      <c r="A144" s="133"/>
      <c r="B144" s="88"/>
      <c r="C144" s="77" t="s">
        <v>72</v>
      </c>
      <c r="D144" s="184"/>
      <c r="E144" s="104"/>
      <c r="F144" s="314"/>
      <c r="G144" s="104"/>
      <c r="H144" s="108"/>
      <c r="I144" s="104"/>
      <c r="J144" s="104"/>
      <c r="K144" s="184"/>
      <c r="L144" s="599">
        <f>L145/B120*1000</f>
        <v>150</v>
      </c>
      <c r="M144" s="104"/>
      <c r="N144" s="104"/>
      <c r="O144" s="104"/>
      <c r="P144" s="108"/>
      <c r="Q144" s="104"/>
      <c r="R144" s="104"/>
      <c r="S144" s="104"/>
      <c r="T144" s="104"/>
      <c r="U144" s="265"/>
      <c r="V144" s="104"/>
      <c r="W144" s="137"/>
      <c r="X144" s="137"/>
      <c r="Y144" s="104"/>
      <c r="Z144" s="210"/>
      <c r="AA144" s="123"/>
    </row>
    <row r="145" spans="1:27" ht="16.5" thickBot="1">
      <c r="A145" s="346" t="str">
        <f>A50</f>
        <v>Сок</v>
      </c>
      <c r="B145" s="347">
        <v>54.9</v>
      </c>
      <c r="C145" s="348" t="s">
        <v>73</v>
      </c>
      <c r="D145" s="423"/>
      <c r="E145" s="350"/>
      <c r="F145" s="363"/>
      <c r="G145" s="350"/>
      <c r="H145" s="349"/>
      <c r="I145" s="350"/>
      <c r="J145" s="350"/>
      <c r="K145" s="341"/>
      <c r="L145" s="422">
        <v>15</v>
      </c>
      <c r="M145" s="350"/>
      <c r="N145" s="350"/>
      <c r="O145" s="350"/>
      <c r="P145" s="349"/>
      <c r="Q145" s="350"/>
      <c r="R145" s="350"/>
      <c r="S145" s="350"/>
      <c r="T145" s="350"/>
      <c r="U145" s="360"/>
      <c r="V145" s="350"/>
      <c r="W145" s="350"/>
      <c r="X145" s="341"/>
      <c r="Y145" s="350"/>
      <c r="Z145" s="343">
        <f>ROUND(E145+G145+I145+J145+K145+L145+M145+N145+O145+Q145+R145+S145+T145+V145+W145+X145+Y145,2)</f>
        <v>15</v>
      </c>
      <c r="AA145" s="344">
        <f>Z145*B145</f>
        <v>823.5</v>
      </c>
    </row>
    <row r="146" spans="1:27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18" t="s">
        <v>71</v>
      </c>
    </row>
    <row r="147" spans="1:27">
      <c r="A147" s="26" t="s">
        <v>53</v>
      </c>
      <c r="B147" s="20"/>
      <c r="C147" s="65"/>
      <c r="D147" s="65"/>
      <c r="E147" s="14"/>
      <c r="F147" s="14"/>
      <c r="G147" s="14"/>
      <c r="H147" s="14"/>
      <c r="I147" s="14"/>
      <c r="J147" s="14"/>
      <c r="K147" s="14"/>
      <c r="L147" s="14"/>
      <c r="M147" s="14"/>
      <c r="N147" s="28" t="s">
        <v>41</v>
      </c>
      <c r="O147" s="14"/>
      <c r="P147" s="14"/>
      <c r="Q147" s="14"/>
      <c r="R147" s="28" t="s">
        <v>11</v>
      </c>
      <c r="S147" s="28"/>
      <c r="T147" s="28"/>
      <c r="U147" s="28"/>
      <c r="V147" s="14"/>
      <c r="W147" s="14"/>
      <c r="X147" s="14"/>
      <c r="Y147" s="22"/>
      <c r="Z147" s="1047" t="s">
        <v>8</v>
      </c>
      <c r="AA147" s="1048"/>
    </row>
    <row r="148" spans="1:27">
      <c r="A148" s="524"/>
      <c r="B148" s="19"/>
      <c r="C148" s="5" t="s">
        <v>52</v>
      </c>
      <c r="D148" s="644"/>
      <c r="E148" s="1052" t="str">
        <f>E114</f>
        <v>З А В Т Р А К</v>
      </c>
      <c r="F148" s="1052"/>
      <c r="G148" s="1052"/>
      <c r="H148" s="1052"/>
      <c r="I148" s="1052"/>
      <c r="J148" s="1053"/>
      <c r="K148" s="515">
        <f>K114</f>
        <v>0</v>
      </c>
      <c r="L148" s="1052" t="str">
        <f>L114</f>
        <v>О Б Е Д</v>
      </c>
      <c r="M148" s="1052"/>
      <c r="N148" s="1052"/>
      <c r="O148" s="1052"/>
      <c r="P148" s="1052"/>
      <c r="Q148" s="1052"/>
      <c r="R148" s="1052"/>
      <c r="S148" s="1052"/>
      <c r="T148" s="1053"/>
      <c r="U148" s="647"/>
      <c r="V148" s="1052" t="str">
        <f>V114</f>
        <v>П О Л Д Н И К</v>
      </c>
      <c r="W148" s="1052"/>
      <c r="X148" s="1052"/>
      <c r="Y148" s="1052"/>
      <c r="Z148" s="1058" t="s">
        <v>3</v>
      </c>
      <c r="AA148" s="1059"/>
    </row>
    <row r="149" spans="1:27">
      <c r="A149" s="523"/>
      <c r="B149" s="5"/>
      <c r="C149" s="5" t="s">
        <v>51</v>
      </c>
      <c r="D149" s="644"/>
      <c r="E149" s="1054"/>
      <c r="F149" s="1054"/>
      <c r="G149" s="1054"/>
      <c r="H149" s="1054"/>
      <c r="I149" s="1054"/>
      <c r="J149" s="1055"/>
      <c r="K149" s="517"/>
      <c r="L149" s="1054"/>
      <c r="M149" s="1054"/>
      <c r="N149" s="1054"/>
      <c r="O149" s="1054"/>
      <c r="P149" s="1054"/>
      <c r="Q149" s="1054"/>
      <c r="R149" s="1054"/>
      <c r="S149" s="1054"/>
      <c r="T149" s="1055"/>
      <c r="U149" s="648"/>
      <c r="V149" s="1054"/>
      <c r="W149" s="1054"/>
      <c r="X149" s="1054"/>
      <c r="Y149" s="1054"/>
      <c r="Z149" s="1047" t="s">
        <v>36</v>
      </c>
      <c r="AA149" s="1048"/>
    </row>
    <row r="150" spans="1:27" ht="12.75" customHeight="1">
      <c r="A150" s="523" t="s">
        <v>54</v>
      </c>
      <c r="B150" s="5" t="s">
        <v>65</v>
      </c>
      <c r="C150" s="5" t="s">
        <v>9</v>
      </c>
      <c r="D150" s="1044" t="str">
        <f>D116</f>
        <v>Бутерб. с маслом сл.</v>
      </c>
      <c r="E150" s="1044" t="str">
        <f>E116</f>
        <v xml:space="preserve">  5. /20</v>
      </c>
      <c r="F150" s="1035" t="str">
        <f>F116</f>
        <v>Суп мол. с крупой</v>
      </c>
      <c r="G150" s="1038"/>
      <c r="H150" s="1041" t="str">
        <f>H116</f>
        <v>Кофейный напит.</v>
      </c>
      <c r="I150" s="1038"/>
      <c r="J150" s="1038" t="str">
        <f>J116</f>
        <v>Батон витам.</v>
      </c>
      <c r="K150" s="1044" t="str">
        <f>K116</f>
        <v>Зефир</v>
      </c>
      <c r="L150" s="1257" t="str">
        <f>L118</f>
        <v>Сок</v>
      </c>
      <c r="M150" s="1257" t="str">
        <f>M118</f>
        <v>Салат из моркови</v>
      </c>
      <c r="N150" s="1145" t="str">
        <f>N118</f>
        <v>Рыба в суп</v>
      </c>
      <c r="O150" s="1205" t="str">
        <f>O116</f>
        <v>Суп картоф. с рыбой</v>
      </c>
      <c r="P150" s="1035" t="str">
        <f>P116</f>
        <v>Биточек из гов.</v>
      </c>
      <c r="Q150" s="1038"/>
      <c r="R150" s="1041" t="str">
        <f t="shared" ref="R150:Y150" si="0">R116</f>
        <v>Компот из апельсинов</v>
      </c>
      <c r="S150" s="1041" t="str">
        <f t="shared" si="0"/>
        <v>Рагу овощное</v>
      </c>
      <c r="T150" s="1205" t="str">
        <f t="shared" si="0"/>
        <v>Хлеб ржано-пшеничный</v>
      </c>
      <c r="U150" s="1273" t="str">
        <f>U118</f>
        <v>Омлет нат.</v>
      </c>
      <c r="V150" s="1038">
        <f t="shared" si="0"/>
        <v>0</v>
      </c>
      <c r="W150" s="1044">
        <f t="shared" si="0"/>
        <v>0</v>
      </c>
      <c r="X150" s="1044" t="str">
        <f t="shared" si="0"/>
        <v xml:space="preserve">Ряженка </v>
      </c>
      <c r="Y150" s="1205" t="str">
        <f t="shared" si="0"/>
        <v>Хлеб йодирован. пшен.</v>
      </c>
      <c r="Z150" s="24"/>
      <c r="AA150" s="525"/>
    </row>
    <row r="151" spans="1:27">
      <c r="A151" s="523"/>
      <c r="B151" s="5"/>
      <c r="C151" s="5" t="s">
        <v>10</v>
      </c>
      <c r="D151" s="1045"/>
      <c r="E151" s="1045"/>
      <c r="F151" s="1036"/>
      <c r="G151" s="1039"/>
      <c r="H151" s="1042"/>
      <c r="I151" s="1039"/>
      <c r="J151" s="1039"/>
      <c r="K151" s="1045"/>
      <c r="L151" s="1194"/>
      <c r="M151" s="1194"/>
      <c r="N151" s="1241"/>
      <c r="O151" s="1206"/>
      <c r="P151" s="1036"/>
      <c r="Q151" s="1039"/>
      <c r="R151" s="1042"/>
      <c r="S151" s="1042"/>
      <c r="T151" s="1206"/>
      <c r="U151" s="1274"/>
      <c r="V151" s="1039"/>
      <c r="W151" s="1045"/>
      <c r="X151" s="1045"/>
      <c r="Y151" s="1206"/>
      <c r="Z151" s="19" t="s">
        <v>6</v>
      </c>
      <c r="AA151" s="522" t="s">
        <v>4</v>
      </c>
    </row>
    <row r="152" spans="1:27">
      <c r="A152" s="529"/>
      <c r="B152" s="4"/>
      <c r="C152" s="4"/>
      <c r="D152" s="1046"/>
      <c r="E152" s="1046"/>
      <c r="F152" s="1037"/>
      <c r="G152" s="1040"/>
      <c r="H152" s="1043"/>
      <c r="I152" s="1040"/>
      <c r="J152" s="1040"/>
      <c r="K152" s="1046"/>
      <c r="L152" s="1195"/>
      <c r="M152" s="1195"/>
      <c r="N152" s="1242"/>
      <c r="O152" s="1207"/>
      <c r="P152" s="1037"/>
      <c r="Q152" s="1040"/>
      <c r="R152" s="1043"/>
      <c r="S152" s="1043"/>
      <c r="T152" s="1207"/>
      <c r="U152" s="1275"/>
      <c r="V152" s="1040"/>
      <c r="W152" s="1046"/>
      <c r="X152" s="1046"/>
      <c r="Y152" s="1207"/>
      <c r="Z152" s="4" t="s">
        <v>7</v>
      </c>
      <c r="AA152" s="519" t="s">
        <v>5</v>
      </c>
    </row>
    <row r="153" spans="1:27" ht="13.5" thickBot="1">
      <c r="A153" s="64">
        <v>1</v>
      </c>
      <c r="B153" s="931">
        <v>2</v>
      </c>
      <c r="C153" s="72">
        <v>3</v>
      </c>
      <c r="D153" s="925">
        <v>4</v>
      </c>
      <c r="E153" s="80">
        <v>5</v>
      </c>
      <c r="F153" s="86">
        <v>6</v>
      </c>
      <c r="G153" s="925">
        <v>7</v>
      </c>
      <c r="H153" s="87">
        <v>8</v>
      </c>
      <c r="I153" s="80">
        <v>9</v>
      </c>
      <c r="J153" s="95">
        <v>10</v>
      </c>
      <c r="K153" s="96">
        <v>11</v>
      </c>
      <c r="L153" s="80">
        <v>12</v>
      </c>
      <c r="M153" s="80">
        <v>13</v>
      </c>
      <c r="N153" s="80">
        <v>14</v>
      </c>
      <c r="O153" s="80">
        <v>15</v>
      </c>
      <c r="P153" s="97">
        <v>16</v>
      </c>
      <c r="Q153" s="93">
        <v>17</v>
      </c>
      <c r="R153" s="96">
        <v>18</v>
      </c>
      <c r="S153" s="96">
        <v>19</v>
      </c>
      <c r="T153" s="98">
        <v>20</v>
      </c>
      <c r="U153" s="262">
        <v>21</v>
      </c>
      <c r="V153" s="96">
        <v>22</v>
      </c>
      <c r="W153" s="96">
        <v>23</v>
      </c>
      <c r="X153" s="81">
        <v>24</v>
      </c>
      <c r="Y153" s="96">
        <v>25</v>
      </c>
      <c r="Z153" s="35">
        <v>26</v>
      </c>
      <c r="AA153" s="924">
        <v>27</v>
      </c>
    </row>
    <row r="154" spans="1:27" ht="15" customHeight="1" thickTop="1">
      <c r="A154" s="135"/>
      <c r="B154" s="13"/>
      <c r="C154" s="77" t="s">
        <v>72</v>
      </c>
      <c r="D154" s="181"/>
      <c r="E154" s="94"/>
      <c r="F154" s="109"/>
      <c r="G154" s="94"/>
      <c r="H154" s="109"/>
      <c r="I154" s="94"/>
      <c r="J154" s="94"/>
      <c r="K154" s="94"/>
      <c r="L154" s="94"/>
      <c r="M154" s="410"/>
      <c r="N154" s="410"/>
      <c r="O154" s="130">
        <v>98.6</v>
      </c>
      <c r="P154" s="109"/>
      <c r="Q154" s="94"/>
      <c r="R154" s="94"/>
      <c r="S154" s="257">
        <v>63</v>
      </c>
      <c r="T154" s="94"/>
      <c r="U154" s="435"/>
      <c r="V154" s="277"/>
      <c r="W154" s="277"/>
      <c r="X154" s="94"/>
      <c r="Y154" s="94"/>
      <c r="Z154" s="329"/>
      <c r="AA154" s="116"/>
    </row>
    <row r="155" spans="1:27" ht="16.5" thickBot="1">
      <c r="A155" s="346" t="str">
        <f>A60</f>
        <v>Картофель</v>
      </c>
      <c r="B155" s="347">
        <f>B60</f>
        <v>28</v>
      </c>
      <c r="C155" s="348" t="s">
        <v>73</v>
      </c>
      <c r="D155" s="348"/>
      <c r="E155" s="337"/>
      <c r="F155" s="338"/>
      <c r="G155" s="337"/>
      <c r="H155" s="338"/>
      <c r="I155" s="337"/>
      <c r="J155" s="337"/>
      <c r="K155" s="337"/>
      <c r="L155" s="512"/>
      <c r="M155" s="341"/>
      <c r="N155" s="350"/>
      <c r="O155" s="339">
        <f>O154*B120/1000</f>
        <v>9.86</v>
      </c>
      <c r="P155" s="338"/>
      <c r="Q155" s="337"/>
      <c r="R155" s="337"/>
      <c r="S155" s="339">
        <f>S154*B120/1000</f>
        <v>6.3</v>
      </c>
      <c r="T155" s="337"/>
      <c r="U155" s="352"/>
      <c r="V155" s="369"/>
      <c r="W155" s="354"/>
      <c r="X155" s="337"/>
      <c r="Y155" s="337"/>
      <c r="Z155" s="343">
        <f>ROUND(E155+G155+I155+J155+K155+L155+M155+N155+O155+Q155+R155+S155+T155+V155+W155+X155+Y155,2)</f>
        <v>16.16</v>
      </c>
      <c r="AA155" s="344">
        <f>Z155*B155</f>
        <v>452.48</v>
      </c>
    </row>
    <row r="156" spans="1:27" ht="15" customHeight="1" thickTop="1">
      <c r="A156" s="133"/>
      <c r="B156" s="88"/>
      <c r="C156" s="77" t="s">
        <v>72</v>
      </c>
      <c r="D156" s="128"/>
      <c r="E156" s="106"/>
      <c r="F156" s="112"/>
      <c r="G156" s="106"/>
      <c r="H156" s="112"/>
      <c r="I156" s="106"/>
      <c r="J156" s="106"/>
      <c r="K156" s="106"/>
      <c r="L156" s="250"/>
      <c r="M156" s="499"/>
      <c r="N156" s="499"/>
      <c r="O156" s="130"/>
      <c r="P156" s="112"/>
      <c r="Q156" s="106"/>
      <c r="R156" s="106"/>
      <c r="S156" s="257">
        <v>27.5</v>
      </c>
      <c r="T156" s="106"/>
      <c r="U156" s="270"/>
      <c r="V156" s="268"/>
      <c r="W156" s="268"/>
      <c r="X156" s="106"/>
      <c r="Y156" s="106"/>
      <c r="Z156" s="210"/>
      <c r="AA156" s="123"/>
    </row>
    <row r="157" spans="1:27" ht="16.5" thickBot="1">
      <c r="A157" s="346" t="str">
        <f>A62</f>
        <v>Капуста св. б/к</v>
      </c>
      <c r="B157" s="347">
        <f>B62</f>
        <v>30</v>
      </c>
      <c r="C157" s="348" t="s">
        <v>73</v>
      </c>
      <c r="D157" s="348"/>
      <c r="E157" s="337"/>
      <c r="F157" s="338"/>
      <c r="G157" s="337"/>
      <c r="H157" s="338"/>
      <c r="I157" s="337"/>
      <c r="J157" s="337"/>
      <c r="K157" s="337"/>
      <c r="L157" s="340"/>
      <c r="M157" s="350"/>
      <c r="N157" s="350"/>
      <c r="O157" s="339">
        <f>O156*B120/1000</f>
        <v>0</v>
      </c>
      <c r="P157" s="338"/>
      <c r="Q157" s="337"/>
      <c r="R157" s="337"/>
      <c r="S157" s="339">
        <f>S156*B120/1000</f>
        <v>2.75</v>
      </c>
      <c r="T157" s="337"/>
      <c r="U157" s="352"/>
      <c r="V157" s="353"/>
      <c r="W157" s="353"/>
      <c r="X157" s="337"/>
      <c r="Y157" s="337"/>
      <c r="Z157" s="343">
        <f>ROUND(E157+G157+I157+J157+K157+L157+M157+N157+O157+Q157+R157+S157+T157+V157+W157+X157+Y157,2)</f>
        <v>2.75</v>
      </c>
      <c r="AA157" s="344">
        <f>Z157*B157</f>
        <v>82.5</v>
      </c>
    </row>
    <row r="158" spans="1:27" ht="15" customHeight="1" thickTop="1">
      <c r="A158" s="133"/>
      <c r="B158" s="88"/>
      <c r="C158" s="77" t="s">
        <v>72</v>
      </c>
      <c r="D158" s="128"/>
      <c r="E158" s="106"/>
      <c r="F158" s="112"/>
      <c r="G158" s="106"/>
      <c r="H158" s="112"/>
      <c r="I158" s="106"/>
      <c r="J158" s="106"/>
      <c r="K158" s="106"/>
      <c r="L158" s="250"/>
      <c r="M158" s="499"/>
      <c r="N158" s="499"/>
      <c r="O158" s="257">
        <v>7.7</v>
      </c>
      <c r="P158" s="246">
        <f>6/60*P121</f>
        <v>6</v>
      </c>
      <c r="Q158" s="129">
        <f>P158/P121*Q121</f>
        <v>6</v>
      </c>
      <c r="R158" s="127"/>
      <c r="S158" s="127">
        <v>12.2</v>
      </c>
      <c r="T158" s="127"/>
      <c r="U158" s="274"/>
      <c r="V158" s="268"/>
      <c r="W158" s="268"/>
      <c r="X158" s="106"/>
      <c r="Y158" s="106"/>
      <c r="Z158" s="210"/>
      <c r="AA158" s="124"/>
    </row>
    <row r="159" spans="1:27" ht="16.5" thickBot="1">
      <c r="A159" s="346" t="str">
        <f>A64</f>
        <v>Лук</v>
      </c>
      <c r="B159" s="347">
        <f>B64</f>
        <v>37</v>
      </c>
      <c r="C159" s="348" t="s">
        <v>73</v>
      </c>
      <c r="D159" s="348"/>
      <c r="E159" s="337"/>
      <c r="F159" s="338"/>
      <c r="G159" s="337"/>
      <c r="H159" s="338"/>
      <c r="I159" s="337"/>
      <c r="J159" s="337"/>
      <c r="K159" s="337"/>
      <c r="L159" s="340"/>
      <c r="M159" s="341"/>
      <c r="N159" s="350"/>
      <c r="O159" s="339">
        <f>O158*B120/1000</f>
        <v>0.77</v>
      </c>
      <c r="P159" s="349">
        <f>P158*P120/1000</f>
        <v>0.6</v>
      </c>
      <c r="Q159" s="339">
        <f>P159</f>
        <v>0.6</v>
      </c>
      <c r="R159" s="337"/>
      <c r="S159" s="342">
        <f>S158*B120/1000</f>
        <v>1.22</v>
      </c>
      <c r="T159" s="337"/>
      <c r="U159" s="352"/>
      <c r="V159" s="353"/>
      <c r="W159" s="353"/>
      <c r="X159" s="337"/>
      <c r="Y159" s="337"/>
      <c r="Z159" s="343">
        <f>ROUND(E159+G159+I159+J159+K159+L159+M159+N159+O159+Q159+R159+S159+T159+V159+W159+X159+Y159,2)</f>
        <v>2.59</v>
      </c>
      <c r="AA159" s="351">
        <f>Z159*B159</f>
        <v>95.83</v>
      </c>
    </row>
    <row r="160" spans="1:27" ht="15" customHeight="1" thickTop="1">
      <c r="A160" s="133"/>
      <c r="B160" s="215"/>
      <c r="C160" s="77" t="s">
        <v>72</v>
      </c>
      <c r="D160" s="128"/>
      <c r="E160" s="106"/>
      <c r="F160" s="112"/>
      <c r="G160" s="106"/>
      <c r="H160" s="112"/>
      <c r="I160" s="106"/>
      <c r="J160" s="106"/>
      <c r="K160" s="106"/>
      <c r="L160" s="251"/>
      <c r="M160" s="131">
        <v>38.299999999999997</v>
      </c>
      <c r="N160" s="499"/>
      <c r="O160" s="257">
        <v>8.5</v>
      </c>
      <c r="P160" s="246"/>
      <c r="Q160" s="129"/>
      <c r="R160" s="127"/>
      <c r="S160" s="127">
        <v>23.1</v>
      </c>
      <c r="T160" s="127"/>
      <c r="U160" s="274"/>
      <c r="V160" s="268"/>
      <c r="W160" s="272"/>
      <c r="X160" s="106"/>
      <c r="Y160" s="106"/>
      <c r="Z160" s="210"/>
      <c r="AA160" s="123"/>
    </row>
    <row r="161" spans="1:27" ht="16.5" thickBot="1">
      <c r="A161" s="346" t="str">
        <f>A66</f>
        <v>Морковь</v>
      </c>
      <c r="B161" s="347">
        <f>B66</f>
        <v>38</v>
      </c>
      <c r="C161" s="348" t="s">
        <v>73</v>
      </c>
      <c r="D161" s="348"/>
      <c r="E161" s="337"/>
      <c r="F161" s="338"/>
      <c r="G161" s="337"/>
      <c r="H161" s="338"/>
      <c r="I161" s="337"/>
      <c r="J161" s="337"/>
      <c r="K161" s="337"/>
      <c r="L161" s="512"/>
      <c r="M161" s="341">
        <f>M160*B120/1000</f>
        <v>3.8299999999999996</v>
      </c>
      <c r="N161" s="350"/>
      <c r="O161" s="339">
        <f>O160*B120/1000</f>
        <v>0.85</v>
      </c>
      <c r="P161" s="349"/>
      <c r="Q161" s="340"/>
      <c r="R161" s="337"/>
      <c r="S161" s="339">
        <f>S160*B120/1000</f>
        <v>2.31</v>
      </c>
      <c r="T161" s="337"/>
      <c r="U161" s="352"/>
      <c r="V161" s="353"/>
      <c r="W161" s="354"/>
      <c r="X161" s="337"/>
      <c r="Y161" s="337"/>
      <c r="Z161" s="343">
        <f>ROUND(E161+G161+I161+J161+K161+L161+M161+N161+O161+Q161+R161+S161+T161+V161+W161+X161+Y161,2)</f>
        <v>6.99</v>
      </c>
      <c r="AA161" s="344">
        <f>Z161*B161</f>
        <v>265.62</v>
      </c>
    </row>
    <row r="162" spans="1:27" ht="15" customHeight="1" thickTop="1">
      <c r="A162" s="133"/>
      <c r="B162" s="215"/>
      <c r="C162" s="77" t="s">
        <v>72</v>
      </c>
      <c r="D162" s="128"/>
      <c r="E162" s="106"/>
      <c r="F162" s="112"/>
      <c r="G162" s="106"/>
      <c r="H162" s="112"/>
      <c r="I162" s="106"/>
      <c r="J162" s="106"/>
      <c r="K162" s="106"/>
      <c r="L162" s="256"/>
      <c r="M162" s="129"/>
      <c r="N162" s="499"/>
      <c r="O162" s="106"/>
      <c r="P162" s="112"/>
      <c r="Q162" s="114"/>
      <c r="R162" s="106"/>
      <c r="S162" s="106"/>
      <c r="T162" s="106"/>
      <c r="U162" s="270"/>
      <c r="V162" s="268"/>
      <c r="W162" s="268"/>
      <c r="X162" s="106"/>
      <c r="Y162" s="106"/>
      <c r="Z162" s="210"/>
      <c r="AA162" s="123"/>
    </row>
    <row r="163" spans="1:27" ht="16.5" thickBot="1">
      <c r="A163" s="346" t="str">
        <f>A68</f>
        <v>Свекла стол.</v>
      </c>
      <c r="B163" s="347">
        <f>B68</f>
        <v>28</v>
      </c>
      <c r="C163" s="348" t="s">
        <v>73</v>
      </c>
      <c r="D163" s="348"/>
      <c r="E163" s="337"/>
      <c r="F163" s="338"/>
      <c r="G163" s="337"/>
      <c r="H163" s="338"/>
      <c r="I163" s="337"/>
      <c r="J163" s="337"/>
      <c r="K163" s="337"/>
      <c r="L163" s="342"/>
      <c r="M163" s="341"/>
      <c r="N163" s="350"/>
      <c r="O163" s="337"/>
      <c r="P163" s="338"/>
      <c r="Q163" s="337"/>
      <c r="R163" s="337"/>
      <c r="S163" s="337"/>
      <c r="T163" s="337"/>
      <c r="U163" s="352"/>
      <c r="V163" s="353"/>
      <c r="W163" s="353"/>
      <c r="X163" s="337"/>
      <c r="Y163" s="337"/>
      <c r="Z163" s="343">
        <f>ROUND(E163+G163+I163+J163+K163+L163+M163+N163+O163+Q163+R163+S163+T163+V163+W163+X163+Y163,2)</f>
        <v>0</v>
      </c>
      <c r="AA163" s="344">
        <f>Z163*B163</f>
        <v>0</v>
      </c>
    </row>
    <row r="164" spans="1:27" ht="15" customHeight="1" thickTop="1">
      <c r="A164" s="133"/>
      <c r="B164" s="215"/>
      <c r="C164" s="77" t="s">
        <v>72</v>
      </c>
      <c r="D164" s="430">
        <v>20</v>
      </c>
      <c r="E164" s="129">
        <f>D164/D121*E121</f>
        <v>20</v>
      </c>
      <c r="F164" s="112"/>
      <c r="G164" s="106"/>
      <c r="H164" s="112"/>
      <c r="I164" s="106"/>
      <c r="J164" s="127">
        <f>J165/B120*1000</f>
        <v>10</v>
      </c>
      <c r="K164" s="127"/>
      <c r="L164" s="251"/>
      <c r="M164" s="464"/>
      <c r="N164" s="499"/>
      <c r="O164" s="106"/>
      <c r="P164" s="177">
        <f>11/60*P121</f>
        <v>11</v>
      </c>
      <c r="Q164" s="128">
        <f>P164/P121*Q121</f>
        <v>11</v>
      </c>
      <c r="R164" s="106"/>
      <c r="S164" s="106"/>
      <c r="T164" s="106"/>
      <c r="U164" s="270"/>
      <c r="V164" s="434"/>
      <c r="W164" s="268"/>
      <c r="X164" s="106"/>
      <c r="Y164" s="114"/>
      <c r="Z164" s="210"/>
      <c r="AA164" s="123"/>
    </row>
    <row r="165" spans="1:27" ht="16.5" thickBot="1">
      <c r="A165" s="346" t="str">
        <f>A70</f>
        <v>Батон витам.</v>
      </c>
      <c r="B165" s="347">
        <f>B70</f>
        <v>81.099999999999994</v>
      </c>
      <c r="C165" s="348" t="s">
        <v>73</v>
      </c>
      <c r="D165" s="363">
        <f>D164*D120/1000</f>
        <v>2</v>
      </c>
      <c r="E165" s="341">
        <f>ROUND(D165,2)</f>
        <v>2</v>
      </c>
      <c r="F165" s="338"/>
      <c r="G165" s="337"/>
      <c r="H165" s="338"/>
      <c r="I165" s="337"/>
      <c r="J165" s="339">
        <v>1</v>
      </c>
      <c r="K165" s="339"/>
      <c r="L165" s="512"/>
      <c r="M165" s="378"/>
      <c r="N165" s="350"/>
      <c r="O165" s="337"/>
      <c r="P165" s="349">
        <f>P164*P120/1000</f>
        <v>1.1000000000000001</v>
      </c>
      <c r="Q165" s="339">
        <f>P165</f>
        <v>1.1000000000000001</v>
      </c>
      <c r="R165" s="337"/>
      <c r="S165" s="337"/>
      <c r="T165" s="337"/>
      <c r="U165" s="352"/>
      <c r="V165" s="353"/>
      <c r="W165" s="353"/>
      <c r="X165" s="337"/>
      <c r="Y165" s="339"/>
      <c r="Z165" s="343">
        <f>ROUND(E165+G165+I165+J165+K165+L165+M165+N165+O165+Q165+R165+S165+T165+V165+W165+X165+Y165,2)</f>
        <v>4.0999999999999996</v>
      </c>
      <c r="AA165" s="344">
        <f>Z165*B165</f>
        <v>332.50999999999993</v>
      </c>
    </row>
    <row r="166" spans="1:27" ht="15" customHeight="1" thickTop="1">
      <c r="A166" s="133"/>
      <c r="B166" s="213"/>
      <c r="C166" s="427" t="s">
        <v>72</v>
      </c>
      <c r="D166" s="128"/>
      <c r="E166" s="106"/>
      <c r="F166" s="112"/>
      <c r="G166" s="106"/>
      <c r="H166" s="112"/>
      <c r="I166" s="106"/>
      <c r="J166" s="106"/>
      <c r="K166" s="106"/>
      <c r="L166" s="251"/>
      <c r="M166" s="464"/>
      <c r="N166" s="268"/>
      <c r="O166" s="106"/>
      <c r="P166" s="112"/>
      <c r="Q166" s="106"/>
      <c r="R166" s="106"/>
      <c r="S166" s="106"/>
      <c r="T166" s="128">
        <f>T167/T120*1000</f>
        <v>30</v>
      </c>
      <c r="U166" s="693"/>
      <c r="V166" s="268"/>
      <c r="W166" s="268"/>
      <c r="X166" s="106"/>
      <c r="Y166" s="106"/>
      <c r="Z166" s="210"/>
      <c r="AA166" s="123"/>
    </row>
    <row r="167" spans="1:27" ht="16.5" thickBot="1">
      <c r="A167" s="346" t="str">
        <f>A72</f>
        <v>Хлеб рж-пшен.</v>
      </c>
      <c r="B167" s="347">
        <f>B72</f>
        <v>55</v>
      </c>
      <c r="C167" s="348" t="s">
        <v>73</v>
      </c>
      <c r="D167" s="348"/>
      <c r="E167" s="337"/>
      <c r="F167" s="338"/>
      <c r="G167" s="337"/>
      <c r="H167" s="338"/>
      <c r="I167" s="337"/>
      <c r="J167" s="337"/>
      <c r="K167" s="337"/>
      <c r="L167" s="358"/>
      <c r="M167" s="369"/>
      <c r="N167" s="353"/>
      <c r="O167" s="337"/>
      <c r="P167" s="338"/>
      <c r="Q167" s="337"/>
      <c r="R167" s="337"/>
      <c r="S167" s="337"/>
      <c r="T167" s="339">
        <v>3</v>
      </c>
      <c r="U167" s="361"/>
      <c r="V167" s="353"/>
      <c r="W167" s="353"/>
      <c r="X167" s="337"/>
      <c r="Y167" s="337"/>
      <c r="Z167" s="343">
        <f>ROUND(E167+G167+I167+J167+K167+L167+M167+N167+O167+Q167+R167+S167+T167+V167+W167+X167+Y167,2)</f>
        <v>3</v>
      </c>
      <c r="AA167" s="344">
        <f>Z167*B167</f>
        <v>165</v>
      </c>
    </row>
    <row r="168" spans="1:27" ht="15" customHeight="1" thickTop="1">
      <c r="A168" s="133"/>
      <c r="B168" s="215"/>
      <c r="C168" s="77" t="s">
        <v>72</v>
      </c>
      <c r="D168" s="128"/>
      <c r="E168" s="106"/>
      <c r="F168" s="112"/>
      <c r="G168" s="106"/>
      <c r="H168" s="112"/>
      <c r="I168" s="106"/>
      <c r="J168" s="106"/>
      <c r="K168" s="106"/>
      <c r="L168" s="251"/>
      <c r="M168" s="464"/>
      <c r="N168" s="268"/>
      <c r="O168" s="106"/>
      <c r="P168" s="112"/>
      <c r="Q168" s="106"/>
      <c r="R168" s="106"/>
      <c r="S168" s="106"/>
      <c r="T168" s="106"/>
      <c r="U168" s="270"/>
      <c r="V168" s="268"/>
      <c r="W168" s="268"/>
      <c r="X168" s="106"/>
      <c r="Y168" s="128">
        <f>Y169/Y120*1000</f>
        <v>10</v>
      </c>
      <c r="Z168" s="210"/>
      <c r="AA168" s="123"/>
    </row>
    <row r="169" spans="1:27" ht="16.5" thickBot="1">
      <c r="A169" s="346" t="str">
        <f>A74</f>
        <v xml:space="preserve">Хлеб  йод. пш. </v>
      </c>
      <c r="B169" s="347">
        <f>B74</f>
        <v>61.3</v>
      </c>
      <c r="C169" s="348" t="s">
        <v>73</v>
      </c>
      <c r="D169" s="308"/>
      <c r="E169" s="331"/>
      <c r="F169" s="332"/>
      <c r="G169" s="331"/>
      <c r="H169" s="332"/>
      <c r="I169" s="331"/>
      <c r="J169" s="331"/>
      <c r="K169" s="331"/>
      <c r="L169" s="467"/>
      <c r="M169" s="598"/>
      <c r="N169" s="336"/>
      <c r="O169" s="331"/>
      <c r="P169" s="332"/>
      <c r="Q169" s="331"/>
      <c r="R169" s="331"/>
      <c r="S169" s="331"/>
      <c r="T169" s="331"/>
      <c r="U169" s="689"/>
      <c r="V169" s="336"/>
      <c r="W169" s="336"/>
      <c r="X169" s="331"/>
      <c r="Y169" s="333">
        <v>1</v>
      </c>
      <c r="Z169" s="343">
        <f>ROUND(E169+G169+I169+J169+K169+L169+M169+N169+O169+Q169+R169+S169+T169+V169+W169+X169+Y169,2)</f>
        <v>1</v>
      </c>
      <c r="AA169" s="344">
        <f>Z169*B169</f>
        <v>61.3</v>
      </c>
    </row>
    <row r="170" spans="1:27" ht="15" customHeight="1" thickTop="1">
      <c r="A170" s="133"/>
      <c r="B170" s="215"/>
      <c r="C170" s="77" t="s">
        <v>72</v>
      </c>
      <c r="D170" s="128"/>
      <c r="E170" s="106"/>
      <c r="F170" s="112"/>
      <c r="G170" s="127"/>
      <c r="H170" s="112"/>
      <c r="I170" s="106"/>
      <c r="J170" s="106"/>
      <c r="K170" s="127">
        <f>K171/B120*1000</f>
        <v>20</v>
      </c>
      <c r="L170" s="251"/>
      <c r="M170" s="499"/>
      <c r="N170" s="137"/>
      <c r="O170" s="106"/>
      <c r="P170" s="112"/>
      <c r="Q170" s="106"/>
      <c r="R170" s="106"/>
      <c r="S170" s="128"/>
      <c r="T170" s="106"/>
      <c r="U170" s="270"/>
      <c r="V170" s="268"/>
      <c r="W170" s="268"/>
      <c r="X170" s="127"/>
      <c r="Y170" s="106"/>
      <c r="Z170" s="210"/>
      <c r="AA170" s="123"/>
    </row>
    <row r="171" spans="1:27" ht="16.5" thickBot="1">
      <c r="A171" s="346" t="str">
        <f>A76</f>
        <v>Зефир</v>
      </c>
      <c r="B171" s="347">
        <f>B76</f>
        <v>230</v>
      </c>
      <c r="C171" s="348" t="s">
        <v>73</v>
      </c>
      <c r="D171" s="348"/>
      <c r="E171" s="337"/>
      <c r="F171" s="338"/>
      <c r="G171" s="358"/>
      <c r="H171" s="338"/>
      <c r="I171" s="337"/>
      <c r="J171" s="337"/>
      <c r="K171" s="342">
        <v>2</v>
      </c>
      <c r="L171" s="358"/>
      <c r="M171" s="341"/>
      <c r="N171" s="354"/>
      <c r="O171" s="337"/>
      <c r="P171" s="338"/>
      <c r="Q171" s="337"/>
      <c r="R171" s="337"/>
      <c r="S171" s="339"/>
      <c r="T171" s="337"/>
      <c r="U171" s="352"/>
      <c r="V171" s="369"/>
      <c r="W171" s="354"/>
      <c r="X171" s="358"/>
      <c r="Y171" s="337"/>
      <c r="Z171" s="343">
        <f>ROUND(E171+G171+I171+J171+K171+L171+M171+N171+O171+Q171+R171+S171+T171+V171+W171+X171+Y171,2)</f>
        <v>2</v>
      </c>
      <c r="AA171" s="344">
        <f>Z171*B171</f>
        <v>460</v>
      </c>
    </row>
    <row r="172" spans="1:27" ht="15" customHeight="1" thickTop="1">
      <c r="A172" s="133"/>
      <c r="B172" s="213"/>
      <c r="C172" s="427" t="s">
        <v>72</v>
      </c>
      <c r="D172" s="128"/>
      <c r="E172" s="106"/>
      <c r="F172" s="112"/>
      <c r="G172" s="106"/>
      <c r="H172" s="112"/>
      <c r="I172" s="128"/>
      <c r="J172" s="106"/>
      <c r="K172" s="255"/>
      <c r="L172" s="251"/>
      <c r="M172" s="464"/>
      <c r="N172" s="268"/>
      <c r="O172" s="106"/>
      <c r="P172" s="112"/>
      <c r="Q172" s="106"/>
      <c r="R172" s="106"/>
      <c r="S172" s="106"/>
      <c r="T172" s="106"/>
      <c r="U172" s="269"/>
      <c r="V172" s="268"/>
      <c r="W172" s="268"/>
      <c r="X172" s="131">
        <f>X173/B120*1000</f>
        <v>154</v>
      </c>
      <c r="Y172" s="106"/>
      <c r="Z172" s="210"/>
      <c r="AA172" s="123"/>
    </row>
    <row r="173" spans="1:27" ht="16.5" thickBot="1">
      <c r="A173" s="346" t="str">
        <f>A78</f>
        <v>Ряженка</v>
      </c>
      <c r="B173" s="347">
        <f>B78</f>
        <v>88</v>
      </c>
      <c r="C173" s="348" t="s">
        <v>73</v>
      </c>
      <c r="D173" s="348"/>
      <c r="E173" s="337"/>
      <c r="F173" s="338"/>
      <c r="G173" s="337"/>
      <c r="H173" s="338"/>
      <c r="I173" s="355"/>
      <c r="J173" s="337"/>
      <c r="K173" s="342"/>
      <c r="L173" s="358"/>
      <c r="M173" s="369"/>
      <c r="N173" s="353"/>
      <c r="O173" s="337"/>
      <c r="P173" s="338"/>
      <c r="Q173" s="337"/>
      <c r="R173" s="337"/>
      <c r="S173" s="337"/>
      <c r="T173" s="337"/>
      <c r="U173" s="352"/>
      <c r="V173" s="353"/>
      <c r="W173" s="353"/>
      <c r="X173" s="341">
        <v>15.4</v>
      </c>
      <c r="Y173" s="337"/>
      <c r="Z173" s="343">
        <f>ROUND(E173+G173+I173+J173+K173+L173+M173+N173+O173+Q173+R173+S173+T173+V173+W173+X173+Y173,2)</f>
        <v>15.4</v>
      </c>
      <c r="AA173" s="344">
        <f>Z173*B173</f>
        <v>1355.2</v>
      </c>
    </row>
    <row r="174" spans="1:27" ht="15" customHeight="1" thickTop="1">
      <c r="A174" s="133"/>
      <c r="B174" s="213"/>
      <c r="C174" s="427" t="s">
        <v>72</v>
      </c>
      <c r="D174" s="128"/>
      <c r="E174" s="106"/>
      <c r="F174" s="112"/>
      <c r="G174" s="106"/>
      <c r="H174" s="112"/>
      <c r="I174" s="106"/>
      <c r="J174" s="106"/>
      <c r="K174" s="114"/>
      <c r="L174" s="251"/>
      <c r="M174" s="464"/>
      <c r="N174" s="268"/>
      <c r="O174" s="106"/>
      <c r="P174" s="112"/>
      <c r="Q174" s="106"/>
      <c r="R174" s="127"/>
      <c r="S174" s="127"/>
      <c r="T174" s="106"/>
      <c r="U174" s="270"/>
      <c r="V174" s="268"/>
      <c r="W174" s="268"/>
      <c r="X174" s="619"/>
      <c r="Y174" s="106"/>
      <c r="Z174" s="210"/>
      <c r="AA174" s="123"/>
    </row>
    <row r="175" spans="1:27" ht="16.5" thickBot="1">
      <c r="A175" s="346">
        <f>A80</f>
        <v>0</v>
      </c>
      <c r="B175" s="347">
        <f>B80</f>
        <v>0</v>
      </c>
      <c r="C175" s="348" t="s">
        <v>73</v>
      </c>
      <c r="D175" s="348"/>
      <c r="E175" s="337"/>
      <c r="F175" s="338"/>
      <c r="G175" s="337"/>
      <c r="H175" s="338"/>
      <c r="I175" s="337"/>
      <c r="J175" s="337"/>
      <c r="K175" s="342"/>
      <c r="L175" s="358"/>
      <c r="M175" s="369"/>
      <c r="N175" s="353"/>
      <c r="O175" s="337"/>
      <c r="P175" s="338"/>
      <c r="Q175" s="337"/>
      <c r="R175" s="600"/>
      <c r="S175" s="357"/>
      <c r="T175" s="337"/>
      <c r="U175" s="352"/>
      <c r="V175" s="353"/>
      <c r="W175" s="353"/>
      <c r="X175" s="1027"/>
      <c r="Y175" s="337"/>
      <c r="Z175" s="356">
        <f>ROUND(E175+G175+I175+J175+K175+L175+M175+N175+O175+Q175+R175+S175+T175+V175+W175+X175+Y175,3)</f>
        <v>0</v>
      </c>
      <c r="AA175" s="344">
        <f>Z175*B175</f>
        <v>0</v>
      </c>
    </row>
    <row r="176" spans="1:27" ht="15" customHeight="1" thickTop="1">
      <c r="A176" s="133"/>
      <c r="B176" s="213"/>
      <c r="C176" s="427" t="s">
        <v>72</v>
      </c>
      <c r="D176" s="128"/>
      <c r="E176" s="106"/>
      <c r="F176" s="112"/>
      <c r="G176" s="106"/>
      <c r="H176" s="112"/>
      <c r="I176" s="106"/>
      <c r="J176" s="106"/>
      <c r="K176" s="106"/>
      <c r="L176" s="250"/>
      <c r="M176" s="499"/>
      <c r="N176" s="272"/>
      <c r="O176" s="130"/>
      <c r="P176" s="112"/>
      <c r="Q176" s="129"/>
      <c r="R176" s="106"/>
      <c r="S176" s="127"/>
      <c r="T176" s="106"/>
      <c r="U176" s="270"/>
      <c r="V176" s="268"/>
      <c r="W176" s="268"/>
      <c r="X176" s="106"/>
      <c r="Y176" s="106"/>
      <c r="Z176" s="210"/>
      <c r="AA176" s="123"/>
    </row>
    <row r="177" spans="1:27" ht="16.5" thickBot="1">
      <c r="A177" s="346" t="str">
        <f>A82</f>
        <v>Томатн. паста</v>
      </c>
      <c r="B177" s="347">
        <f>B82</f>
        <v>370</v>
      </c>
      <c r="C177" s="348" t="s">
        <v>73</v>
      </c>
      <c r="D177" s="348"/>
      <c r="E177" s="337"/>
      <c r="F177" s="338"/>
      <c r="G177" s="337"/>
      <c r="H177" s="338"/>
      <c r="I177" s="337"/>
      <c r="J177" s="337"/>
      <c r="K177" s="337"/>
      <c r="L177" s="340"/>
      <c r="M177" s="350"/>
      <c r="N177" s="350"/>
      <c r="O177" s="339"/>
      <c r="P177" s="349"/>
      <c r="Q177" s="340"/>
      <c r="R177" s="337"/>
      <c r="S177" s="342"/>
      <c r="T177" s="337"/>
      <c r="U177" s="352"/>
      <c r="V177" s="353"/>
      <c r="W177" s="353"/>
      <c r="X177" s="337"/>
      <c r="Y177" s="337"/>
      <c r="Z177" s="343">
        <f>ROUND(E177+G177+I177+J177+K177+L177+M177+N177+O177+Q177+R177+S177+T177+V177+W177+X177+Y177,2)</f>
        <v>0</v>
      </c>
      <c r="AA177" s="344">
        <f>Z177*B177</f>
        <v>0</v>
      </c>
    </row>
    <row r="178" spans="1:27" ht="15.75" customHeight="1" thickTop="1">
      <c r="A178" s="133"/>
      <c r="B178" s="215"/>
      <c r="C178" s="77" t="s">
        <v>72</v>
      </c>
      <c r="D178" s="128"/>
      <c r="E178" s="105"/>
      <c r="F178" s="112"/>
      <c r="G178" s="105"/>
      <c r="H178" s="112">
        <v>2</v>
      </c>
      <c r="I178" s="128">
        <f>H178/F121*G121</f>
        <v>2</v>
      </c>
      <c r="J178" s="128"/>
      <c r="K178" s="105"/>
      <c r="L178" s="105"/>
      <c r="M178" s="271"/>
      <c r="N178" s="271"/>
      <c r="O178" s="105"/>
      <c r="P178" s="112"/>
      <c r="Q178" s="105"/>
      <c r="R178" s="127"/>
      <c r="S178" s="127"/>
      <c r="T178" s="105"/>
      <c r="U178" s="273"/>
      <c r="V178" s="271"/>
      <c r="W178" s="271"/>
      <c r="X178" s="105"/>
      <c r="Y178" s="105"/>
      <c r="Z178" s="210"/>
      <c r="AA178" s="123"/>
    </row>
    <row r="179" spans="1:27" ht="16.5" thickBot="1">
      <c r="A179" s="346" t="str">
        <f>A84</f>
        <v>Кофейн. нап.</v>
      </c>
      <c r="B179" s="347">
        <f>B84</f>
        <v>550</v>
      </c>
      <c r="C179" s="348" t="s">
        <v>73</v>
      </c>
      <c r="D179" s="348"/>
      <c r="E179" s="337"/>
      <c r="F179" s="349"/>
      <c r="G179" s="337"/>
      <c r="H179" s="338">
        <f>H178*F120/1000</f>
        <v>0.2</v>
      </c>
      <c r="I179" s="357">
        <f>H179</f>
        <v>0.2</v>
      </c>
      <c r="J179" s="355"/>
      <c r="K179" s="337"/>
      <c r="L179" s="337"/>
      <c r="M179" s="353"/>
      <c r="N179" s="353"/>
      <c r="O179" s="337"/>
      <c r="P179" s="338"/>
      <c r="Q179" s="337"/>
      <c r="R179" s="339"/>
      <c r="S179" s="339"/>
      <c r="T179" s="337"/>
      <c r="U179" s="352"/>
      <c r="V179" s="353"/>
      <c r="W179" s="353"/>
      <c r="X179" s="337"/>
      <c r="Y179" s="337"/>
      <c r="Z179" s="356">
        <f>ROUND(E179+G179+I179+J179+K179+L179+M179+N179+O179+Q179+R179+S179+T179+V179+W179+X179+Y179,3)</f>
        <v>0.2</v>
      </c>
      <c r="AA179" s="344">
        <f>Z179*B179</f>
        <v>110</v>
      </c>
    </row>
    <row r="180" spans="1:27" ht="15" customHeight="1" thickTop="1">
      <c r="A180" s="141"/>
      <c r="B180" s="215"/>
      <c r="C180" s="77" t="s">
        <v>72</v>
      </c>
      <c r="D180" s="128"/>
      <c r="E180" s="106"/>
      <c r="F180" s="112"/>
      <c r="G180" s="106"/>
      <c r="H180" s="112"/>
      <c r="I180" s="106"/>
      <c r="J180" s="106"/>
      <c r="K180" s="106"/>
      <c r="L180" s="106"/>
      <c r="M180" s="272"/>
      <c r="N180" s="268"/>
      <c r="O180" s="106"/>
      <c r="P180" s="112"/>
      <c r="Q180" s="106"/>
      <c r="R180" s="106"/>
      <c r="S180" s="106"/>
      <c r="T180" s="106"/>
      <c r="U180" s="270"/>
      <c r="V180" s="129"/>
      <c r="W180" s="272"/>
      <c r="X180" s="106"/>
      <c r="Y180" s="106"/>
      <c r="Z180" s="210"/>
      <c r="AA180" s="123"/>
    </row>
    <row r="181" spans="1:27" ht="16.5" thickBot="1">
      <c r="A181" s="346">
        <f>A86</f>
        <v>0</v>
      </c>
      <c r="B181" s="347">
        <f>B86</f>
        <v>0</v>
      </c>
      <c r="C181" s="348" t="s">
        <v>73</v>
      </c>
      <c r="D181" s="348"/>
      <c r="E181" s="337"/>
      <c r="F181" s="338"/>
      <c r="G181" s="337"/>
      <c r="H181" s="338"/>
      <c r="I181" s="337"/>
      <c r="J181" s="337"/>
      <c r="K181" s="337"/>
      <c r="L181" s="337"/>
      <c r="M181" s="341"/>
      <c r="N181" s="353"/>
      <c r="O181" s="337"/>
      <c r="P181" s="338"/>
      <c r="Q181" s="337"/>
      <c r="R181" s="337"/>
      <c r="S181" s="337"/>
      <c r="T181" s="337"/>
      <c r="U181" s="352"/>
      <c r="V181" s="350"/>
      <c r="W181" s="341"/>
      <c r="X181" s="353"/>
      <c r="Y181" s="337"/>
      <c r="Z181" s="343">
        <f>ROUND(E181+G181+I181+J181+K181+L181+M181+N181+O181+Q181+R181+S181+T181+V181+W181+X181+Y181,2)</f>
        <v>0</v>
      </c>
      <c r="AA181" s="344">
        <f>Z181*B181</f>
        <v>0</v>
      </c>
    </row>
    <row r="182" spans="1:27" ht="15" customHeight="1" thickTop="1">
      <c r="A182" s="133"/>
      <c r="B182" s="215"/>
      <c r="C182" s="77" t="s">
        <v>72</v>
      </c>
      <c r="D182" s="128"/>
      <c r="E182" s="106"/>
      <c r="F182" s="112">
        <v>0.1</v>
      </c>
      <c r="G182" s="128">
        <f>F182/F121*G121</f>
        <v>0.10000000000000002</v>
      </c>
      <c r="H182" s="112"/>
      <c r="I182" s="106"/>
      <c r="J182" s="106"/>
      <c r="K182" s="106"/>
      <c r="L182" s="513"/>
      <c r="M182" s="500"/>
      <c r="N182" s="129"/>
      <c r="O182" s="106">
        <v>0.3</v>
      </c>
      <c r="P182" s="112">
        <v>0.4</v>
      </c>
      <c r="Q182" s="128">
        <f>P182/P121*Q121</f>
        <v>0.4</v>
      </c>
      <c r="R182" s="106"/>
      <c r="S182" s="127">
        <v>1</v>
      </c>
      <c r="T182" s="106"/>
      <c r="U182" s="177">
        <v>0.4</v>
      </c>
      <c r="V182" s="128">
        <f>U182/U121*V121</f>
        <v>0.4</v>
      </c>
      <c r="W182" s="403"/>
      <c r="X182" s="268"/>
      <c r="Y182" s="106"/>
      <c r="Z182" s="210"/>
      <c r="AA182" s="123"/>
    </row>
    <row r="183" spans="1:27" ht="16.5" thickBot="1">
      <c r="A183" s="346" t="str">
        <f>A88</f>
        <v>Соль иодиров.</v>
      </c>
      <c r="B183" s="347">
        <f>B88</f>
        <v>28</v>
      </c>
      <c r="C183" s="348" t="s">
        <v>73</v>
      </c>
      <c r="D183" s="348"/>
      <c r="E183" s="337"/>
      <c r="F183" s="338">
        <f>F182*F120/1000</f>
        <v>0.01</v>
      </c>
      <c r="G183" s="339">
        <f>ROUND(F183,2)</f>
        <v>0.01</v>
      </c>
      <c r="H183" s="338"/>
      <c r="I183" s="337"/>
      <c r="J183" s="337"/>
      <c r="K183" s="337"/>
      <c r="L183" s="514"/>
      <c r="M183" s="341"/>
      <c r="N183" s="350"/>
      <c r="O183" s="339">
        <f>O182*B120/1000</f>
        <v>0.03</v>
      </c>
      <c r="P183" s="338">
        <f>P182*P120/1000</f>
        <v>0.04</v>
      </c>
      <c r="Q183" s="339">
        <f>ROUND(P183,2)</f>
        <v>0.04</v>
      </c>
      <c r="R183" s="337"/>
      <c r="S183" s="339">
        <f>S182*B120/1000</f>
        <v>0.1</v>
      </c>
      <c r="T183" s="337"/>
      <c r="U183" s="349">
        <f>U182*U120/1000</f>
        <v>0.04</v>
      </c>
      <c r="V183" s="339">
        <f>ROUND(U183,2)</f>
        <v>0.04</v>
      </c>
      <c r="W183" s="341"/>
      <c r="X183" s="353"/>
      <c r="Y183" s="337"/>
      <c r="Z183" s="343">
        <f>ROUND(E183+G183+I183+J183+K183+L183+M183+N183+O183+Q183+R183+S183+T183+V183+W183+X183+Y183,2)</f>
        <v>0.22</v>
      </c>
      <c r="AA183" s="344">
        <f>Z183*B183</f>
        <v>6.16</v>
      </c>
    </row>
    <row r="184" spans="1:27" ht="15" customHeight="1" thickTop="1">
      <c r="A184" s="133"/>
      <c r="B184" s="215"/>
      <c r="C184" s="77" t="s">
        <v>72</v>
      </c>
      <c r="D184" s="128"/>
      <c r="E184" s="106"/>
      <c r="F184" s="112"/>
      <c r="G184" s="106"/>
      <c r="H184" s="112"/>
      <c r="I184" s="106"/>
      <c r="J184" s="106"/>
      <c r="K184" s="106"/>
      <c r="L184" s="513"/>
      <c r="M184" s="500"/>
      <c r="N184" s="129"/>
      <c r="O184" s="106"/>
      <c r="P184" s="112"/>
      <c r="Q184" s="106"/>
      <c r="R184" s="106"/>
      <c r="S184" s="106"/>
      <c r="T184" s="106"/>
      <c r="U184" s="430"/>
      <c r="V184" s="129"/>
      <c r="W184" s="268"/>
      <c r="X184" s="106"/>
      <c r="Y184" s="106"/>
      <c r="Z184" s="210"/>
      <c r="AA184" s="123"/>
    </row>
    <row r="185" spans="1:27" ht="16.5" thickBot="1">
      <c r="A185" s="346">
        <f>A90</f>
        <v>0</v>
      </c>
      <c r="B185" s="347">
        <f>B90</f>
        <v>0</v>
      </c>
      <c r="C185" s="348" t="s">
        <v>73</v>
      </c>
      <c r="D185" s="348"/>
      <c r="E185" s="337"/>
      <c r="F185" s="338"/>
      <c r="G185" s="358"/>
      <c r="H185" s="338"/>
      <c r="I185" s="337"/>
      <c r="J185" s="337"/>
      <c r="K185" s="337"/>
      <c r="L185" s="514"/>
      <c r="M185" s="501"/>
      <c r="N185" s="350"/>
      <c r="O185" s="337"/>
      <c r="P185" s="338"/>
      <c r="Q185" s="337"/>
      <c r="R185" s="337"/>
      <c r="S185" s="337"/>
      <c r="T185" s="337"/>
      <c r="U185" s="363"/>
      <c r="V185" s="341"/>
      <c r="W185" s="353"/>
      <c r="X185" s="337"/>
      <c r="Y185" s="337"/>
      <c r="Z185" s="343">
        <f>ROUND(E185+G185+I185+J185+K185+L185+M185+N185+O185+Q185+R185+S185+T185+V185+W185+X185+Y185,2)</f>
        <v>0</v>
      </c>
      <c r="AA185" s="344">
        <f>Z185*B185</f>
        <v>0</v>
      </c>
    </row>
    <row r="186" spans="1:27" ht="15.75">
      <c r="A186" s="136"/>
      <c r="B186" s="6"/>
      <c r="C186" s="75"/>
      <c r="D186" s="75"/>
      <c r="E186" s="105"/>
      <c r="F186" s="112"/>
      <c r="G186" s="105"/>
      <c r="H186" s="112"/>
      <c r="I186" s="105"/>
      <c r="J186" s="105"/>
      <c r="K186" s="105"/>
      <c r="L186" s="105"/>
      <c r="M186" s="271"/>
      <c r="N186" s="271"/>
      <c r="O186" s="105"/>
      <c r="P186" s="112"/>
      <c r="Q186" s="105"/>
      <c r="R186" s="105"/>
      <c r="S186" s="105"/>
      <c r="T186" s="105"/>
      <c r="U186" s="640"/>
      <c r="V186" s="690"/>
      <c r="W186" s="271"/>
      <c r="X186" s="105"/>
      <c r="Y186" s="105"/>
      <c r="Z186" s="125"/>
      <c r="AA186" s="126">
        <f>AA123+AA125+AA127+AA129+AA131+AA133+AA135+AA137+AA139+AA141+AA143+AA145+AA155+AA157+AA159+AA161+AA163+AA165+AA167+AA169+AA171+AA173+AA175+AA177+AA179+AA181+AA183+AA185</f>
        <v>10144.907800000001</v>
      </c>
    </row>
    <row r="188" spans="1:27" ht="13.5" thickBot="1">
      <c r="A188" s="43" t="s">
        <v>316</v>
      </c>
      <c r="B188" s="1026"/>
      <c r="R188" s="43" t="s">
        <v>30</v>
      </c>
      <c r="S188" s="9"/>
      <c r="AA188" s="118">
        <f>J108</f>
        <v>11000</v>
      </c>
    </row>
    <row r="189" spans="1:27">
      <c r="A189" s="43" t="s">
        <v>50</v>
      </c>
      <c r="R189" s="43" t="s">
        <v>31</v>
      </c>
      <c r="S189" s="9"/>
    </row>
    <row r="190" spans="1:27">
      <c r="A190" s="43" t="s">
        <v>318</v>
      </c>
      <c r="R190" s="43" t="s">
        <v>333</v>
      </c>
      <c r="S190" s="9"/>
    </row>
    <row r="191" spans="1:27">
      <c r="A191" s="43" t="s">
        <v>37</v>
      </c>
      <c r="R191" s="43" t="s">
        <v>31</v>
      </c>
      <c r="S191" s="9"/>
    </row>
  </sheetData>
  <mergeCells count="158">
    <mergeCell ref="O3:AA3"/>
    <mergeCell ref="A6:C6"/>
    <mergeCell ref="E6:G6"/>
    <mergeCell ref="H6:I6"/>
    <mergeCell ref="Z6:AA6"/>
    <mergeCell ref="B9:C9"/>
    <mergeCell ref="E9:G9"/>
    <mergeCell ref="H9:I9"/>
    <mergeCell ref="J9:K9"/>
    <mergeCell ref="P9:Q9"/>
    <mergeCell ref="J6:L6"/>
    <mergeCell ref="J7:L7"/>
    <mergeCell ref="J8:L8"/>
    <mergeCell ref="Z7:AA7"/>
    <mergeCell ref="B8:C8"/>
    <mergeCell ref="E8:G8"/>
    <mergeCell ref="A7:C7"/>
    <mergeCell ref="E7:G7"/>
    <mergeCell ref="H7:I7"/>
    <mergeCell ref="N7:O7"/>
    <mergeCell ref="P7:Q7"/>
    <mergeCell ref="R7:W8"/>
    <mergeCell ref="X7:Y7"/>
    <mergeCell ref="H8:I8"/>
    <mergeCell ref="J108:M108"/>
    <mergeCell ref="U150:U152"/>
    <mergeCell ref="D21:D23"/>
    <mergeCell ref="D116:D118"/>
    <mergeCell ref="D55:D57"/>
    <mergeCell ref="D150:D152"/>
    <mergeCell ref="B10:C10"/>
    <mergeCell ref="J10:K10"/>
    <mergeCell ref="J101:L101"/>
    <mergeCell ref="J102:L102"/>
    <mergeCell ref="J103:L103"/>
    <mergeCell ref="E19:J20"/>
    <mergeCell ref="L19:T20"/>
    <mergeCell ref="J21:J23"/>
    <mergeCell ref="K21:K23"/>
    <mergeCell ref="F21:G23"/>
    <mergeCell ref="S21:S23"/>
    <mergeCell ref="A101:C101"/>
    <mergeCell ref="E101:G101"/>
    <mergeCell ref="H101:I101"/>
    <mergeCell ref="B104:C104"/>
    <mergeCell ref="E104:G104"/>
    <mergeCell ref="H104:I104"/>
    <mergeCell ref="J13:M13"/>
    <mergeCell ref="N8:O8"/>
    <mergeCell ref="P8:Q8"/>
    <mergeCell ref="E53:J54"/>
    <mergeCell ref="L53:T54"/>
    <mergeCell ref="V53:Y54"/>
    <mergeCell ref="Z53:AA53"/>
    <mergeCell ref="Z54:AA54"/>
    <mergeCell ref="V21:V23"/>
    <mergeCell ref="W21:W23"/>
    <mergeCell ref="X21:X23"/>
    <mergeCell ref="Y21:Y23"/>
    <mergeCell ref="O21:O23"/>
    <mergeCell ref="P21:P23"/>
    <mergeCell ref="Q21:Q23"/>
    <mergeCell ref="R21:R23"/>
    <mergeCell ref="T21:T23"/>
    <mergeCell ref="E21:E23"/>
    <mergeCell ref="H21:I23"/>
    <mergeCell ref="P11:Q11"/>
    <mergeCell ref="R11:X12"/>
    <mergeCell ref="E55:E57"/>
    <mergeCell ref="F55:G57"/>
    <mergeCell ref="H55:I57"/>
    <mergeCell ref="J55:J57"/>
    <mergeCell ref="K55:K57"/>
    <mergeCell ref="L55:L57"/>
    <mergeCell ref="S55:S57"/>
    <mergeCell ref="W55:W57"/>
    <mergeCell ref="V55:V57"/>
    <mergeCell ref="M55:M57"/>
    <mergeCell ref="J104:K104"/>
    <mergeCell ref="P104:Q104"/>
    <mergeCell ref="B105:C105"/>
    <mergeCell ref="J105:K105"/>
    <mergeCell ref="Z102:AA102"/>
    <mergeCell ref="B103:C103"/>
    <mergeCell ref="E103:G103"/>
    <mergeCell ref="H103:I103"/>
    <mergeCell ref="N103:O103"/>
    <mergeCell ref="P103:Q103"/>
    <mergeCell ref="A102:C102"/>
    <mergeCell ref="E102:G102"/>
    <mergeCell ref="H102:I102"/>
    <mergeCell ref="N102:O102"/>
    <mergeCell ref="P102:Q102"/>
    <mergeCell ref="R102:W103"/>
    <mergeCell ref="X102:Y102"/>
    <mergeCell ref="Z113:AA113"/>
    <mergeCell ref="E114:J115"/>
    <mergeCell ref="L114:T115"/>
    <mergeCell ref="V114:Y115"/>
    <mergeCell ref="Z114:AA114"/>
    <mergeCell ref="Z115:AA115"/>
    <mergeCell ref="F116:G118"/>
    <mergeCell ref="S116:S118"/>
    <mergeCell ref="V116:V118"/>
    <mergeCell ref="W116:W118"/>
    <mergeCell ref="X116:X118"/>
    <mergeCell ref="Y116:Y118"/>
    <mergeCell ref="O116:O118"/>
    <mergeCell ref="P116:P118"/>
    <mergeCell ref="Q116:Q118"/>
    <mergeCell ref="R116:R118"/>
    <mergeCell ref="E116:E118"/>
    <mergeCell ref="H116:I118"/>
    <mergeCell ref="J116:J118"/>
    <mergeCell ref="K116:K118"/>
    <mergeCell ref="T116:T118"/>
    <mergeCell ref="M150:M152"/>
    <mergeCell ref="S150:S152"/>
    <mergeCell ref="W150:W152"/>
    <mergeCell ref="Z147:AA147"/>
    <mergeCell ref="E148:J149"/>
    <mergeCell ref="L148:T149"/>
    <mergeCell ref="V148:Y149"/>
    <mergeCell ref="Z148:AA148"/>
    <mergeCell ref="Z149:AA149"/>
    <mergeCell ref="V150:V152"/>
    <mergeCell ref="X150:X152"/>
    <mergeCell ref="Y150:Y152"/>
    <mergeCell ref="N150:N152"/>
    <mergeCell ref="O150:O152"/>
    <mergeCell ref="P150:Q152"/>
    <mergeCell ref="R150:R152"/>
    <mergeCell ref="T150:T152"/>
    <mergeCell ref="E150:E152"/>
    <mergeCell ref="F150:G152"/>
    <mergeCell ref="H150:I152"/>
    <mergeCell ref="J150:J152"/>
    <mergeCell ref="K150:K152"/>
    <mergeCell ref="L150:L152"/>
    <mergeCell ref="R106:X107"/>
    <mergeCell ref="P106:Q106"/>
    <mergeCell ref="N110:O110"/>
    <mergeCell ref="X55:X57"/>
    <mergeCell ref="Y55:Y57"/>
    <mergeCell ref="O98:AA98"/>
    <mergeCell ref="N15:O15"/>
    <mergeCell ref="Z18:AA18"/>
    <mergeCell ref="Z101:AA101"/>
    <mergeCell ref="N55:N57"/>
    <mergeCell ref="O55:O57"/>
    <mergeCell ref="P55:Q57"/>
    <mergeCell ref="R55:R57"/>
    <mergeCell ref="T55:T57"/>
    <mergeCell ref="V19:Y20"/>
    <mergeCell ref="Z19:AA19"/>
    <mergeCell ref="Z20:AA20"/>
    <mergeCell ref="Z52:AA52"/>
    <mergeCell ref="U55:U57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G195"/>
  <sheetViews>
    <sheetView showGridLines="0" topLeftCell="A175" zoomScale="93" zoomScaleNormal="93" workbookViewId="0">
      <selection activeCell="N178" sqref="N178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5.85546875" customWidth="1"/>
    <col min="5" max="5" width="7.42578125" customWidth="1"/>
    <col min="6" max="6" width="6" customWidth="1"/>
    <col min="7" max="7" width="8" customWidth="1"/>
    <col min="8" max="8" width="5.42578125" customWidth="1"/>
    <col min="9" max="9" width="6.5703125" customWidth="1"/>
    <col min="10" max="10" width="0.140625" customWidth="1"/>
    <col min="11" max="11" width="7.28515625" customWidth="1"/>
    <col min="12" max="12" width="8.42578125" customWidth="1"/>
    <col min="13" max="13" width="8" customWidth="1"/>
    <col min="14" max="14" width="6.85546875" customWidth="1"/>
    <col min="15" max="15" width="7.42578125" customWidth="1"/>
    <col min="16" max="16" width="8.140625" customWidth="1"/>
    <col min="17" max="17" width="9.5703125" customWidth="1"/>
    <col min="18" max="18" width="7.5703125" customWidth="1"/>
    <col min="19" max="19" width="7.85546875" customWidth="1"/>
    <col min="20" max="20" width="0.28515625" customWidth="1"/>
    <col min="21" max="21" width="7.28515625" customWidth="1"/>
    <col min="22" max="22" width="8.42578125" customWidth="1"/>
    <col min="23" max="23" width="8.140625" customWidth="1"/>
    <col min="24" max="24" width="7.28515625" customWidth="1"/>
    <col min="25" max="25" width="6.85546875" customWidth="1"/>
    <col min="26" max="26" width="8.140625" customWidth="1"/>
    <col min="27" max="27" width="9.85546875" customWidth="1"/>
    <col min="28" max="28" width="4.140625" customWidth="1"/>
  </cols>
  <sheetData>
    <row r="1" spans="1:33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S1" s="7"/>
      <c r="T1" s="7"/>
      <c r="V1" s="10"/>
      <c r="W1" s="10"/>
      <c r="X1" s="10"/>
      <c r="Y1" s="10"/>
      <c r="Z1" s="11"/>
      <c r="AA1" s="11"/>
      <c r="AB1" s="7"/>
      <c r="AC1" s="7"/>
      <c r="AD1" s="7"/>
      <c r="AE1" s="7"/>
      <c r="AF1" s="7"/>
      <c r="AG1" s="7"/>
    </row>
    <row r="2" spans="1:33" ht="15" customHeight="1">
      <c r="A2" s="3" t="s">
        <v>321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V2" s="10"/>
      <c r="W2" s="10"/>
      <c r="X2" s="10"/>
      <c r="Y2" s="10"/>
      <c r="Z2" s="11"/>
      <c r="AA2" s="11"/>
      <c r="AB2" s="7"/>
      <c r="AC2" s="7"/>
      <c r="AD2" s="7"/>
      <c r="AE2" s="7"/>
      <c r="AF2" s="7"/>
      <c r="AG2" s="7"/>
    </row>
    <row r="3" spans="1:33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1060" t="s">
        <v>80</v>
      </c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15"/>
      <c r="AC3" s="115"/>
      <c r="AD3" s="7"/>
      <c r="AE3" s="7"/>
      <c r="AF3" s="7"/>
      <c r="AG3" s="7"/>
    </row>
    <row r="4" spans="1:33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AB4" s="7"/>
      <c r="AC4" s="7"/>
      <c r="AD4" s="7"/>
      <c r="AE4" s="7"/>
      <c r="AF4" s="7"/>
      <c r="AG4" s="7"/>
    </row>
    <row r="5" spans="1:33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2"/>
      <c r="N5" s="3"/>
      <c r="O5" s="3"/>
      <c r="P5" s="2"/>
      <c r="Q5" s="2"/>
      <c r="R5" s="2"/>
      <c r="S5" s="1"/>
      <c r="T5" s="1"/>
      <c r="U5" s="7"/>
      <c r="V5" s="7"/>
      <c r="W5" s="7"/>
      <c r="X5" s="7"/>
      <c r="Y5" s="7"/>
      <c r="AB5" s="7"/>
      <c r="AC5" s="7"/>
      <c r="AD5" s="7"/>
      <c r="AE5" s="7"/>
      <c r="AF5" s="7"/>
      <c r="AG5" s="7"/>
    </row>
    <row r="6" spans="1:33" ht="15.75" customHeight="1" thickBot="1">
      <c r="A6" s="1048" t="s">
        <v>42</v>
      </c>
      <c r="B6" s="1048"/>
      <c r="C6" s="1048"/>
      <c r="D6" s="505"/>
      <c r="E6" s="1047" t="s">
        <v>35</v>
      </c>
      <c r="F6" s="1048"/>
      <c r="G6" s="1049"/>
      <c r="H6" s="1047" t="s">
        <v>60</v>
      </c>
      <c r="I6" s="1047"/>
      <c r="J6" s="1049"/>
      <c r="K6" s="1047" t="s">
        <v>58</v>
      </c>
      <c r="L6" s="1048"/>
      <c r="M6" s="1048"/>
      <c r="N6" s="31"/>
      <c r="O6" s="29"/>
      <c r="P6" s="21"/>
      <c r="Q6" s="21"/>
      <c r="R6" s="3"/>
      <c r="S6" s="7"/>
      <c r="T6" s="7"/>
      <c r="U6" s="7"/>
      <c r="V6" s="7"/>
      <c r="W6" s="7"/>
      <c r="X6" s="7"/>
      <c r="Y6" s="7"/>
      <c r="Z6" s="1088" t="s">
        <v>0</v>
      </c>
      <c r="AA6" s="1089"/>
      <c r="AB6" s="7"/>
      <c r="AC6" s="7"/>
      <c r="AD6" s="7"/>
      <c r="AE6" s="7"/>
      <c r="AF6" s="7"/>
      <c r="AG6" s="7"/>
    </row>
    <row r="7" spans="1:33" ht="11.25" customHeight="1">
      <c r="A7" s="1059" t="s">
        <v>43</v>
      </c>
      <c r="B7" s="1059"/>
      <c r="C7" s="1059"/>
      <c r="D7" s="507"/>
      <c r="E7" s="1065" t="s">
        <v>34</v>
      </c>
      <c r="F7" s="1066"/>
      <c r="G7" s="1067"/>
      <c r="H7" s="1065" t="s">
        <v>12</v>
      </c>
      <c r="I7" s="1065"/>
      <c r="J7" s="1067"/>
      <c r="K7" s="1065" t="s">
        <v>15</v>
      </c>
      <c r="L7" s="1066"/>
      <c r="M7" s="1108"/>
      <c r="N7" s="1065" t="s">
        <v>14</v>
      </c>
      <c r="O7" s="1066"/>
      <c r="P7" s="1067"/>
      <c r="Q7" s="698" t="s">
        <v>196</v>
      </c>
      <c r="R7" s="1224" t="s">
        <v>223</v>
      </c>
      <c r="S7" s="1093"/>
      <c r="T7" s="1093"/>
      <c r="U7" s="1093"/>
      <c r="V7" s="1093"/>
      <c r="W7" s="1093"/>
      <c r="X7" s="1050" t="s">
        <v>190</v>
      </c>
      <c r="Y7" s="1156"/>
      <c r="Z7" s="1090" t="s">
        <v>23</v>
      </c>
      <c r="AA7" s="1091"/>
      <c r="AB7" s="7"/>
      <c r="AC7" s="7"/>
      <c r="AD7" s="7"/>
      <c r="AE7" s="7"/>
      <c r="AF7" s="7"/>
      <c r="AG7" s="7"/>
    </row>
    <row r="8" spans="1:33" ht="10.5" customHeight="1" thickBot="1">
      <c r="A8" s="212" t="s">
        <v>44</v>
      </c>
      <c r="B8" s="1047" t="s">
        <v>46</v>
      </c>
      <c r="C8" s="1048"/>
      <c r="D8" s="507"/>
      <c r="E8" s="1065" t="s">
        <v>39</v>
      </c>
      <c r="F8" s="1066"/>
      <c r="G8" s="1067"/>
      <c r="H8" s="1065" t="s">
        <v>49</v>
      </c>
      <c r="I8" s="1065"/>
      <c r="J8" s="1067"/>
      <c r="K8" s="1065" t="s">
        <v>59</v>
      </c>
      <c r="L8" s="1066"/>
      <c r="M8" s="1066"/>
      <c r="N8" s="1065" t="s">
        <v>40</v>
      </c>
      <c r="O8" s="1066"/>
      <c r="P8" s="1067"/>
      <c r="Q8" s="698" t="s">
        <v>197</v>
      </c>
      <c r="R8" s="1093"/>
      <c r="S8" s="1093"/>
      <c r="T8" s="1093"/>
      <c r="U8" s="1093"/>
      <c r="V8" s="1093"/>
      <c r="W8" s="1093"/>
      <c r="Z8" s="53"/>
      <c r="AA8" s="56"/>
      <c r="AB8" s="7"/>
      <c r="AC8" s="7"/>
      <c r="AD8" s="7"/>
      <c r="AE8" s="7"/>
      <c r="AF8" s="7"/>
      <c r="AG8" s="7"/>
    </row>
    <row r="9" spans="1:33" ht="16.5" customHeight="1" thickBot="1">
      <c r="A9" s="211" t="s">
        <v>45</v>
      </c>
      <c r="B9" s="1065" t="s">
        <v>47</v>
      </c>
      <c r="C9" s="1108"/>
      <c r="D9" s="508"/>
      <c r="E9" s="1065" t="s">
        <v>38</v>
      </c>
      <c r="F9" s="1066"/>
      <c r="G9" s="1067"/>
      <c r="H9" s="1065" t="s">
        <v>13</v>
      </c>
      <c r="I9" s="1065"/>
      <c r="J9" s="1067"/>
      <c r="K9" s="1065" t="s">
        <v>38</v>
      </c>
      <c r="L9" s="1066"/>
      <c r="M9" s="1066"/>
      <c r="N9" s="25"/>
      <c r="O9" s="3"/>
      <c r="P9" s="17"/>
      <c r="Q9" s="698" t="s">
        <v>198</v>
      </c>
      <c r="R9" s="3" t="s">
        <v>194</v>
      </c>
      <c r="S9" s="548"/>
      <c r="T9" s="548"/>
      <c r="U9" s="120"/>
      <c r="V9" s="120"/>
      <c r="W9" s="120"/>
      <c r="X9" s="120"/>
      <c r="Y9" s="746" t="s">
        <v>191</v>
      </c>
      <c r="Z9" s="701"/>
      <c r="AA9" s="708"/>
      <c r="AB9" s="120"/>
      <c r="AC9" s="120"/>
      <c r="AD9" s="7"/>
      <c r="AE9" s="7"/>
      <c r="AF9" s="7"/>
      <c r="AG9" s="7"/>
    </row>
    <row r="10" spans="1:33" ht="9.75" customHeight="1">
      <c r="A10" s="17"/>
      <c r="B10" s="1058" t="s">
        <v>48</v>
      </c>
      <c r="C10" s="1059"/>
      <c r="D10" s="507"/>
      <c r="E10" s="33"/>
      <c r="F10" s="3"/>
      <c r="G10" s="30"/>
      <c r="H10" s="3"/>
      <c r="I10" s="3"/>
      <c r="J10" s="30"/>
      <c r="K10" s="1058"/>
      <c r="L10" s="1059"/>
      <c r="M10" s="1059"/>
      <c r="N10" s="25"/>
      <c r="O10" s="3"/>
      <c r="P10" s="17"/>
      <c r="Q10" s="17"/>
      <c r="S10" s="709" t="s">
        <v>96</v>
      </c>
      <c r="Y10" s="32"/>
      <c r="Z10" s="702"/>
      <c r="AA10" s="703"/>
    </row>
    <row r="11" spans="1:33" ht="11.25" customHeight="1" thickBot="1">
      <c r="A11" s="58">
        <v>1</v>
      </c>
      <c r="B11" s="62"/>
      <c r="C11" s="63">
        <v>2</v>
      </c>
      <c r="D11" s="292"/>
      <c r="E11" s="188"/>
      <c r="F11" s="188">
        <v>3</v>
      </c>
      <c r="G11" s="189"/>
      <c r="H11" s="188"/>
      <c r="I11" s="188">
        <v>4</v>
      </c>
      <c r="J11" s="189"/>
      <c r="K11" s="188"/>
      <c r="L11" s="188"/>
      <c r="M11" s="188">
        <v>5</v>
      </c>
      <c r="N11" s="191"/>
      <c r="O11" s="431">
        <v>6</v>
      </c>
      <c r="P11" s="697"/>
      <c r="Q11" s="712">
        <v>7</v>
      </c>
      <c r="R11" s="1074" t="s">
        <v>307</v>
      </c>
      <c r="S11" s="1061"/>
      <c r="T11" s="1061"/>
      <c r="U11" s="1061"/>
      <c r="V11" s="1061"/>
      <c r="W11" s="1061"/>
      <c r="X11" s="1061"/>
      <c r="Y11" s="699" t="s">
        <v>199</v>
      </c>
      <c r="Z11" s="705"/>
      <c r="AA11" s="704"/>
      <c r="AB11" s="7"/>
      <c r="AC11" s="7"/>
      <c r="AD11" s="7"/>
      <c r="AE11" s="7"/>
      <c r="AF11" s="7"/>
      <c r="AG11" s="7"/>
    </row>
    <row r="12" spans="1:33" ht="7.5" customHeight="1">
      <c r="A12" s="37"/>
      <c r="B12" s="38"/>
      <c r="C12" s="38"/>
      <c r="D12" s="38"/>
      <c r="E12" s="38"/>
      <c r="F12" s="38"/>
      <c r="G12" s="39"/>
      <c r="H12" s="38"/>
      <c r="I12" s="38"/>
      <c r="J12" s="39"/>
      <c r="K12" s="38"/>
      <c r="L12" s="38"/>
      <c r="M12" s="38"/>
      <c r="N12" s="40"/>
      <c r="O12" s="38"/>
      <c r="P12" s="39"/>
      <c r="Q12" s="42"/>
      <c r="R12" s="1061"/>
      <c r="S12" s="1061"/>
      <c r="T12" s="1061"/>
      <c r="U12" s="1061"/>
      <c r="V12" s="1061"/>
      <c r="W12" s="1061"/>
      <c r="X12" s="1061"/>
      <c r="Y12" s="56"/>
      <c r="Z12" s="32"/>
      <c r="AA12" s="8"/>
      <c r="AB12" s="706"/>
      <c r="AC12" s="7"/>
      <c r="AD12" s="7"/>
      <c r="AE12" s="7"/>
      <c r="AF12" s="7"/>
      <c r="AG12" s="7"/>
    </row>
    <row r="13" spans="1:33" ht="18" customHeight="1" thickBot="1">
      <c r="A13" s="780" t="s">
        <v>202</v>
      </c>
      <c r="B13" s="28"/>
      <c r="C13" s="28"/>
      <c r="D13" s="28"/>
      <c r="E13" s="28"/>
      <c r="F13" s="28"/>
      <c r="G13" s="218">
        <v>110</v>
      </c>
      <c r="H13" s="1113">
        <f>B25</f>
        <v>100</v>
      </c>
      <c r="I13" s="1114"/>
      <c r="J13" s="1069"/>
      <c r="K13" s="1075">
        <f>G13*H13</f>
        <v>11000</v>
      </c>
      <c r="L13" s="1114"/>
      <c r="M13" s="1069"/>
      <c r="N13" s="1068">
        <f>AA95/B25</f>
        <v>127.415372</v>
      </c>
      <c r="O13" s="1115"/>
      <c r="P13" s="1069"/>
      <c r="Q13" s="52"/>
      <c r="R13" s="3"/>
      <c r="S13" s="710" t="s">
        <v>308</v>
      </c>
      <c r="T13" s="2"/>
      <c r="U13" s="538"/>
      <c r="V13" s="7"/>
      <c r="W13" s="7"/>
      <c r="X13" s="7"/>
      <c r="Y13" s="699"/>
      <c r="Z13" s="7"/>
      <c r="AA13" s="7"/>
      <c r="AB13" s="706"/>
      <c r="AC13" s="8"/>
      <c r="AD13" s="7"/>
      <c r="AE13" s="7"/>
      <c r="AF13" s="7"/>
      <c r="AG13" s="7"/>
    </row>
    <row r="14" spans="1:33" ht="5.2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49"/>
      <c r="K14" s="28"/>
      <c r="L14" s="28"/>
      <c r="M14" s="28"/>
      <c r="N14" s="51"/>
      <c r="O14" s="28"/>
      <c r="P14" s="27"/>
      <c r="Q14" s="52"/>
      <c r="R14" s="3"/>
      <c r="S14" s="7"/>
      <c r="T14" s="7"/>
      <c r="X14" s="32"/>
      <c r="Y14" s="56"/>
      <c r="Z14" s="41"/>
      <c r="AA14" s="707"/>
      <c r="AB14" s="7"/>
      <c r="AC14" s="7"/>
      <c r="AD14" s="7"/>
      <c r="AE14" s="7"/>
      <c r="AF14" s="7"/>
      <c r="AG14" s="7"/>
    </row>
    <row r="15" spans="1:33" ht="15.75" customHeight="1" thickBot="1">
      <c r="A15" s="769"/>
      <c r="B15" s="38"/>
      <c r="C15" s="38"/>
      <c r="D15" s="38"/>
      <c r="E15" s="38"/>
      <c r="F15" s="38"/>
      <c r="G15" s="38"/>
      <c r="H15" s="38"/>
      <c r="I15" s="3" t="s">
        <v>33</v>
      </c>
      <c r="J15" s="42"/>
      <c r="K15" s="45"/>
      <c r="L15" s="45"/>
      <c r="M15" s="45"/>
      <c r="N15" s="1116">
        <f>N13*B25</f>
        <v>12741.537200000001</v>
      </c>
      <c r="O15" s="1117"/>
      <c r="P15" s="1118"/>
      <c r="Q15" s="47"/>
      <c r="R15" s="3" t="s">
        <v>193</v>
      </c>
      <c r="S15" s="7"/>
      <c r="T15" s="7"/>
      <c r="U15" s="549"/>
      <c r="V15" s="711" t="s">
        <v>309</v>
      </c>
      <c r="Y15" s="56"/>
      <c r="Z15" s="66"/>
      <c r="AA15" s="704"/>
      <c r="AB15" s="7"/>
      <c r="AC15" s="7"/>
      <c r="AD15" s="7"/>
      <c r="AE15" s="7"/>
      <c r="AF15" s="7"/>
      <c r="AG15" s="7"/>
    </row>
    <row r="16" spans="1:33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770"/>
      <c r="L16" s="770"/>
      <c r="M16" s="770"/>
      <c r="N16" s="770"/>
      <c r="O16" s="770"/>
      <c r="P16" s="770"/>
      <c r="Q16" s="770"/>
      <c r="R16" s="3"/>
      <c r="S16" s="7"/>
      <c r="T16" s="7"/>
      <c r="Y16" s="32"/>
      <c r="Z16" s="32"/>
      <c r="AB16" s="7"/>
      <c r="AC16" s="7"/>
      <c r="AD16" s="7"/>
      <c r="AE16" s="7"/>
      <c r="AF16" s="7"/>
      <c r="AG16" s="7"/>
    </row>
    <row r="17" spans="1:33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7"/>
      <c r="T17" s="7"/>
      <c r="U17" s="7"/>
      <c r="V17" s="7"/>
      <c r="W17" s="7"/>
      <c r="X17" s="7"/>
      <c r="Y17" s="7"/>
      <c r="Z17" s="8"/>
      <c r="AA17" s="8"/>
      <c r="AB17" s="7"/>
      <c r="AC17" s="7"/>
      <c r="AD17" s="7"/>
      <c r="AE17" s="7"/>
      <c r="AF17" s="7"/>
      <c r="AG17" s="7"/>
    </row>
    <row r="18" spans="1:33" ht="12" customHeight="1">
      <c r="A18" s="26" t="s">
        <v>53</v>
      </c>
      <c r="B18" s="20"/>
      <c r="C18" s="65"/>
      <c r="D18" s="488"/>
      <c r="E18" s="14"/>
      <c r="F18" s="14"/>
      <c r="G18" s="14"/>
      <c r="H18" s="14"/>
      <c r="I18" s="14"/>
      <c r="J18" s="14"/>
      <c r="K18" s="14"/>
      <c r="L18" s="14"/>
      <c r="M18" s="14"/>
      <c r="N18" s="28" t="s">
        <v>41</v>
      </c>
      <c r="O18" s="28"/>
      <c r="P18" s="14"/>
      <c r="Q18" s="14"/>
      <c r="R18" s="28"/>
      <c r="S18" s="28"/>
      <c r="T18" s="28"/>
      <c r="U18" s="14"/>
      <c r="V18" s="14"/>
      <c r="W18" s="14"/>
      <c r="X18" s="14"/>
      <c r="Y18" s="14"/>
      <c r="Z18" s="1047" t="s">
        <v>8</v>
      </c>
      <c r="AA18" s="1048"/>
      <c r="AB18" s="7"/>
      <c r="AC18" s="7"/>
      <c r="AD18" s="7"/>
      <c r="AE18" s="7"/>
      <c r="AF18" s="7"/>
      <c r="AG18" s="7"/>
    </row>
    <row r="19" spans="1:33" ht="12" customHeight="1">
      <c r="A19" s="185"/>
      <c r="B19" s="19"/>
      <c r="C19" s="70" t="s">
        <v>52</v>
      </c>
      <c r="D19" s="507"/>
      <c r="E19" s="1276" t="s">
        <v>108</v>
      </c>
      <c r="F19" s="1277"/>
      <c r="G19" s="1277"/>
      <c r="H19" s="1277"/>
      <c r="I19" s="1277"/>
      <c r="J19" s="1277"/>
      <c r="K19" s="1277"/>
      <c r="L19" s="954" t="s">
        <v>69</v>
      </c>
      <c r="M19" s="1280" t="s">
        <v>16</v>
      </c>
      <c r="N19" s="1276"/>
      <c r="O19" s="1276"/>
      <c r="P19" s="1276"/>
      <c r="Q19" s="1276"/>
      <c r="R19" s="1276"/>
      <c r="S19" s="1276"/>
      <c r="T19" s="957"/>
      <c r="U19" s="1282" t="s">
        <v>17</v>
      </c>
      <c r="V19" s="1276"/>
      <c r="W19" s="1276"/>
      <c r="X19" s="1276"/>
      <c r="Y19" s="1283"/>
      <c r="Z19" s="1059" t="s">
        <v>3</v>
      </c>
      <c r="AA19" s="1059"/>
      <c r="AB19" s="7"/>
      <c r="AC19" s="7"/>
      <c r="AD19" s="7"/>
      <c r="AE19" s="7"/>
      <c r="AF19" s="7"/>
      <c r="AG19" s="7"/>
    </row>
    <row r="20" spans="1:33" ht="1.5" customHeight="1">
      <c r="A20" s="187"/>
      <c r="B20" s="5"/>
      <c r="C20" s="5" t="s">
        <v>51</v>
      </c>
      <c r="D20" s="507"/>
      <c r="E20" s="1278"/>
      <c r="F20" s="1278"/>
      <c r="G20" s="1278"/>
      <c r="H20" s="1278"/>
      <c r="I20" s="1278"/>
      <c r="J20" s="1278"/>
      <c r="K20" s="1279"/>
      <c r="L20" s="565"/>
      <c r="M20" s="1281"/>
      <c r="N20" s="1278"/>
      <c r="O20" s="1278"/>
      <c r="P20" s="1278"/>
      <c r="Q20" s="1278"/>
      <c r="R20" s="1278"/>
      <c r="S20" s="1279"/>
      <c r="T20" s="958"/>
      <c r="U20" s="1284"/>
      <c r="V20" s="1278"/>
      <c r="W20" s="1278"/>
      <c r="X20" s="1278"/>
      <c r="Y20" s="1285"/>
      <c r="Z20" s="1048" t="s">
        <v>36</v>
      </c>
      <c r="AA20" s="1048"/>
      <c r="AB20" s="8"/>
      <c r="AC20" s="7"/>
      <c r="AD20" s="7"/>
      <c r="AE20" s="7"/>
      <c r="AF20" s="7"/>
      <c r="AG20" s="7"/>
    </row>
    <row r="21" spans="1:33" ht="10.5" customHeight="1">
      <c r="A21" s="187" t="s">
        <v>54</v>
      </c>
      <c r="B21" s="5"/>
      <c r="C21" s="70" t="s">
        <v>9</v>
      </c>
      <c r="D21" s="1078" t="s">
        <v>148</v>
      </c>
      <c r="E21" s="1286" t="s">
        <v>149</v>
      </c>
      <c r="F21" s="1078" t="s">
        <v>152</v>
      </c>
      <c r="G21" s="1287" t="s">
        <v>153</v>
      </c>
      <c r="H21" s="1107" t="s">
        <v>83</v>
      </c>
      <c r="I21" s="1157"/>
      <c r="J21" s="1044"/>
      <c r="K21" s="1038" t="s">
        <v>128</v>
      </c>
      <c r="L21" s="642"/>
      <c r="M21" s="1035" t="s">
        <v>86</v>
      </c>
      <c r="N21" s="1044" t="s">
        <v>122</v>
      </c>
      <c r="O21" s="1044" t="s">
        <v>280</v>
      </c>
      <c r="P21" s="1044" t="s">
        <v>281</v>
      </c>
      <c r="Q21" s="1288"/>
      <c r="R21" s="1041" t="s">
        <v>135</v>
      </c>
      <c r="S21" s="1044" t="s">
        <v>68</v>
      </c>
      <c r="T21" s="1044"/>
      <c r="U21" s="1035" t="s">
        <v>276</v>
      </c>
      <c r="V21" s="1035"/>
      <c r="W21" s="1123" t="s">
        <v>277</v>
      </c>
      <c r="X21" s="1044" t="s">
        <v>278</v>
      </c>
      <c r="Y21" s="1038" t="s">
        <v>70</v>
      </c>
      <c r="Z21" s="24"/>
      <c r="AA21" s="23"/>
      <c r="AB21" s="7"/>
      <c r="AC21" s="7"/>
      <c r="AD21" s="7"/>
      <c r="AE21" s="7"/>
      <c r="AF21" s="7"/>
      <c r="AG21" s="7"/>
    </row>
    <row r="22" spans="1:33" ht="10.5" customHeight="1">
      <c r="A22" s="187"/>
      <c r="B22" s="5"/>
      <c r="C22" s="70" t="s">
        <v>10</v>
      </c>
      <c r="D22" s="1079"/>
      <c r="E22" s="1082"/>
      <c r="F22" s="1079"/>
      <c r="G22" s="1082"/>
      <c r="H22" s="1160"/>
      <c r="I22" s="1158"/>
      <c r="J22" s="1045"/>
      <c r="K22" s="1039"/>
      <c r="L22" s="630"/>
      <c r="M22" s="1036"/>
      <c r="N22" s="1045"/>
      <c r="O22" s="1045"/>
      <c r="P22" s="1045"/>
      <c r="Q22" s="1289"/>
      <c r="R22" s="1042"/>
      <c r="S22" s="1045"/>
      <c r="T22" s="1194"/>
      <c r="U22" s="1036"/>
      <c r="V22" s="1036"/>
      <c r="W22" s="1209"/>
      <c r="X22" s="1045"/>
      <c r="Y22" s="1039"/>
      <c r="Z22" s="19" t="s">
        <v>6</v>
      </c>
      <c r="AA22" s="186" t="s">
        <v>4</v>
      </c>
      <c r="AB22" s="7"/>
      <c r="AC22" s="7"/>
      <c r="AD22" s="7"/>
      <c r="AE22" s="7"/>
      <c r="AF22" s="7"/>
      <c r="AG22" s="7"/>
    </row>
    <row r="23" spans="1:33" ht="93.75" customHeight="1">
      <c r="A23" s="193"/>
      <c r="B23" s="4"/>
      <c r="C23" s="71"/>
      <c r="D23" s="1080"/>
      <c r="E23" s="1083"/>
      <c r="F23" s="1080"/>
      <c r="G23" s="1083"/>
      <c r="H23" s="1161"/>
      <c r="I23" s="1159"/>
      <c r="J23" s="1046"/>
      <c r="K23" s="1040"/>
      <c r="L23" s="631" t="s">
        <v>131</v>
      </c>
      <c r="M23" s="1037"/>
      <c r="N23" s="1046"/>
      <c r="O23" s="1046"/>
      <c r="P23" s="1046"/>
      <c r="Q23" s="1290"/>
      <c r="R23" s="1043"/>
      <c r="S23" s="1046"/>
      <c r="T23" s="1195"/>
      <c r="U23" s="1037"/>
      <c r="V23" s="1037"/>
      <c r="W23" s="1210"/>
      <c r="X23" s="1046"/>
      <c r="Y23" s="1040"/>
      <c r="Z23" s="4" t="s">
        <v>7</v>
      </c>
      <c r="AA23" s="192" t="s">
        <v>5</v>
      </c>
      <c r="AB23" s="7"/>
      <c r="AC23" s="7"/>
      <c r="AD23" s="7"/>
      <c r="AE23" s="7"/>
      <c r="AF23" s="7"/>
      <c r="AG23" s="7"/>
    </row>
    <row r="24" spans="1:33" ht="11.25" customHeight="1">
      <c r="A24" s="64">
        <v>1</v>
      </c>
      <c r="B24" s="34">
        <v>2</v>
      </c>
      <c r="C24" s="72">
        <v>3</v>
      </c>
      <c r="D24" s="86">
        <v>4</v>
      </c>
      <c r="E24" s="80">
        <v>5</v>
      </c>
      <c r="F24" s="86">
        <v>6</v>
      </c>
      <c r="G24" s="76">
        <v>7</v>
      </c>
      <c r="H24" s="87">
        <v>8</v>
      </c>
      <c r="I24" s="80">
        <v>9</v>
      </c>
      <c r="J24" s="81">
        <v>10</v>
      </c>
      <c r="K24" s="96">
        <v>11</v>
      </c>
      <c r="L24" s="96">
        <v>12</v>
      </c>
      <c r="M24" s="81">
        <v>13</v>
      </c>
      <c r="N24" s="81">
        <v>14</v>
      </c>
      <c r="O24" s="81">
        <v>15</v>
      </c>
      <c r="P24" s="82">
        <v>16</v>
      </c>
      <c r="Q24" s="80">
        <v>17</v>
      </c>
      <c r="R24" s="96">
        <v>18</v>
      </c>
      <c r="S24" s="98">
        <v>19</v>
      </c>
      <c r="T24" s="98">
        <v>20</v>
      </c>
      <c r="U24" s="82">
        <v>21</v>
      </c>
      <c r="V24" s="96">
        <v>22</v>
      </c>
      <c r="W24" s="96">
        <v>23</v>
      </c>
      <c r="X24" s="81">
        <v>24</v>
      </c>
      <c r="Y24" s="96">
        <v>25</v>
      </c>
      <c r="Z24" s="35">
        <v>26</v>
      </c>
      <c r="AA24" s="36">
        <v>27</v>
      </c>
      <c r="AB24" s="7"/>
      <c r="AC24" s="7"/>
      <c r="AD24" s="7"/>
      <c r="AE24" s="7"/>
      <c r="AF24" s="7"/>
      <c r="AG24" s="7"/>
    </row>
    <row r="25" spans="1:33" ht="15.95" customHeight="1">
      <c r="A25" s="16" t="s">
        <v>18</v>
      </c>
      <c r="B25" s="221">
        <v>100</v>
      </c>
      <c r="C25" s="73"/>
      <c r="D25" s="89">
        <f>F25</f>
        <v>100</v>
      </c>
      <c r="E25" s="99">
        <f>B25</f>
        <v>100</v>
      </c>
      <c r="F25" s="222">
        <v>100</v>
      </c>
      <c r="G25" s="99">
        <f>B25</f>
        <v>100</v>
      </c>
      <c r="H25" s="109">
        <f>F25</f>
        <v>100</v>
      </c>
      <c r="I25" s="99">
        <f>B25</f>
        <v>100</v>
      </c>
      <c r="J25" s="471"/>
      <c r="K25" s="99">
        <f>B25</f>
        <v>100</v>
      </c>
      <c r="L25" s="99">
        <f>B25</f>
        <v>100</v>
      </c>
      <c r="M25" s="99">
        <f>B25</f>
        <v>100</v>
      </c>
      <c r="N25" s="99">
        <f>B25</f>
        <v>100</v>
      </c>
      <c r="O25" s="582">
        <f>B25</f>
        <v>100</v>
      </c>
      <c r="P25" s="109">
        <f>F25</f>
        <v>100</v>
      </c>
      <c r="Q25" s="99">
        <f>B25</f>
        <v>100</v>
      </c>
      <c r="R25" s="99">
        <f>B25</f>
        <v>100</v>
      </c>
      <c r="S25" s="99">
        <f>B25</f>
        <v>100</v>
      </c>
      <c r="T25" s="160"/>
      <c r="U25" s="407">
        <f>F25</f>
        <v>100</v>
      </c>
      <c r="V25" s="99">
        <f>B25</f>
        <v>100</v>
      </c>
      <c r="W25" s="99">
        <f>B25</f>
        <v>100</v>
      </c>
      <c r="X25" s="99">
        <f>B25</f>
        <v>100</v>
      </c>
      <c r="Y25" s="99">
        <f>B25</f>
        <v>100</v>
      </c>
      <c r="Z25" s="12" t="s">
        <v>66</v>
      </c>
      <c r="AA25" s="68" t="s">
        <v>64</v>
      </c>
      <c r="AB25" s="7"/>
      <c r="AC25" s="7"/>
      <c r="AD25" s="7"/>
      <c r="AE25" s="7"/>
      <c r="AF25" s="7"/>
    </row>
    <row r="26" spans="1:33" ht="15.95" customHeight="1" thickBot="1">
      <c r="A26" s="59" t="s">
        <v>19</v>
      </c>
      <c r="B26" s="60"/>
      <c r="C26" s="74"/>
      <c r="D26" s="304">
        <v>35</v>
      </c>
      <c r="E26" s="119">
        <f>D26*F25/B25</f>
        <v>35</v>
      </c>
      <c r="F26" s="91">
        <v>156</v>
      </c>
      <c r="G26" s="119">
        <f>F26*F25/B25</f>
        <v>156</v>
      </c>
      <c r="H26" s="110">
        <v>180</v>
      </c>
      <c r="I26" s="119">
        <f>H26*H25/B25</f>
        <v>180</v>
      </c>
      <c r="J26" s="643"/>
      <c r="K26" s="119">
        <f>K70/B25*1000</f>
        <v>20</v>
      </c>
      <c r="L26" s="119">
        <f>L88/B25*1000</f>
        <v>100</v>
      </c>
      <c r="M26" s="119">
        <v>50</v>
      </c>
      <c r="N26" s="100">
        <v>200</v>
      </c>
      <c r="O26" s="279">
        <v>100</v>
      </c>
      <c r="P26" s="511">
        <v>50</v>
      </c>
      <c r="Q26" s="119">
        <f>P26*F25/B25</f>
        <v>50</v>
      </c>
      <c r="R26" s="100">
        <v>180</v>
      </c>
      <c r="S26" s="119">
        <f>S72/B25*1000</f>
        <v>40</v>
      </c>
      <c r="T26" s="433"/>
      <c r="U26" s="408">
        <v>100</v>
      </c>
      <c r="V26" s="301">
        <f>U26*F25/B25</f>
        <v>100</v>
      </c>
      <c r="W26" s="301">
        <v>20</v>
      </c>
      <c r="X26" s="100">
        <v>180</v>
      </c>
      <c r="Y26" s="119">
        <f>Y74/B25*1000</f>
        <v>20</v>
      </c>
      <c r="Z26" s="61"/>
      <c r="AA26" s="69"/>
      <c r="AB26" s="7"/>
      <c r="AC26" s="7"/>
      <c r="AD26" s="7"/>
      <c r="AE26" s="7"/>
      <c r="AF26" s="7"/>
    </row>
    <row r="27" spans="1:33" ht="14.25" customHeight="1" thickTop="1">
      <c r="A27" s="133"/>
      <c r="B27" s="5" t="s">
        <v>65</v>
      </c>
      <c r="C27" s="77" t="s">
        <v>72</v>
      </c>
      <c r="D27" s="287"/>
      <c r="E27" s="88"/>
      <c r="F27" s="92"/>
      <c r="G27" s="88"/>
      <c r="H27" s="107"/>
      <c r="I27" s="88"/>
      <c r="J27" s="608"/>
      <c r="K27" s="88"/>
      <c r="L27" s="88"/>
      <c r="M27" s="88"/>
      <c r="N27" s="88"/>
      <c r="O27" s="566"/>
      <c r="P27" s="177">
        <f>119.6/50*P26</f>
        <v>119.6</v>
      </c>
      <c r="Q27" s="129">
        <f>P27/P26*Q26</f>
        <v>119.6</v>
      </c>
      <c r="R27" s="88"/>
      <c r="S27" s="88"/>
      <c r="T27" s="215"/>
      <c r="U27" s="263"/>
      <c r="V27" s="88"/>
      <c r="W27" s="88"/>
      <c r="X27" s="88"/>
      <c r="Y27" s="88"/>
      <c r="Z27" s="78"/>
      <c r="AA27" s="79"/>
      <c r="AB27" s="7"/>
      <c r="AC27" s="7"/>
      <c r="AD27" s="7"/>
      <c r="AE27" s="7"/>
      <c r="AF27" s="7"/>
    </row>
    <row r="28" spans="1:33" ht="15.75" customHeight="1" thickBot="1">
      <c r="A28" s="346" t="s">
        <v>113</v>
      </c>
      <c r="B28" s="347">
        <v>210</v>
      </c>
      <c r="C28" s="348" t="s">
        <v>73</v>
      </c>
      <c r="D28" s="385"/>
      <c r="E28" s="350"/>
      <c r="F28" s="363"/>
      <c r="G28" s="350"/>
      <c r="H28" s="349"/>
      <c r="I28" s="350"/>
      <c r="J28" s="569"/>
      <c r="K28" s="350"/>
      <c r="L28" s="350"/>
      <c r="M28" s="350"/>
      <c r="N28" s="350"/>
      <c r="O28" s="567"/>
      <c r="P28" s="377">
        <f>P27*P25/1000</f>
        <v>11.96</v>
      </c>
      <c r="Q28" s="365">
        <f>P28</f>
        <v>11.96</v>
      </c>
      <c r="R28" s="350"/>
      <c r="S28" s="350"/>
      <c r="T28" s="379"/>
      <c r="U28" s="360"/>
      <c r="V28" s="350"/>
      <c r="W28" s="350"/>
      <c r="X28" s="350"/>
      <c r="Y28" s="350"/>
      <c r="Z28" s="356">
        <f>ROUND(E28+G28+I28+K28+L28+M28+N28+O28+Q28+R28+S28+V28+W28+X28+Y28,3)</f>
        <v>11.96</v>
      </c>
      <c r="AA28" s="368">
        <f>Z28*B28</f>
        <v>2511.6000000000004</v>
      </c>
      <c r="AB28" s="7"/>
      <c r="AC28" s="225">
        <f>Z28+Z125</f>
        <v>23.92</v>
      </c>
      <c r="AD28" s="7" t="str">
        <f>A28</f>
        <v>Цыплята бр.</v>
      </c>
      <c r="AE28" s="7"/>
      <c r="AF28" s="7"/>
    </row>
    <row r="29" spans="1:33" ht="15" customHeight="1" thickTop="1">
      <c r="A29" s="133"/>
      <c r="B29" s="121"/>
      <c r="C29" s="77" t="s">
        <v>72</v>
      </c>
      <c r="D29" s="306">
        <v>5</v>
      </c>
      <c r="E29" s="129">
        <f>D29/D26*E26</f>
        <v>5</v>
      </c>
      <c r="F29" s="497">
        <v>3</v>
      </c>
      <c r="G29" s="129">
        <f>F29/F26*G26</f>
        <v>3</v>
      </c>
      <c r="H29" s="430"/>
      <c r="I29" s="129"/>
      <c r="J29" s="608"/>
      <c r="K29" s="88"/>
      <c r="L29" s="88"/>
      <c r="M29" s="88"/>
      <c r="N29" s="131">
        <v>5.3</v>
      </c>
      <c r="O29" s="131"/>
      <c r="P29" s="177"/>
      <c r="Q29" s="129"/>
      <c r="R29" s="88"/>
      <c r="S29" s="88"/>
      <c r="T29" s="215"/>
      <c r="U29" s="428">
        <f>4/100*U26</f>
        <v>4</v>
      </c>
      <c r="V29" s="129">
        <f>U29/U26*V26</f>
        <v>4</v>
      </c>
      <c r="W29" s="131">
        <v>0.9</v>
      </c>
      <c r="X29" s="88"/>
      <c r="Y29" s="88"/>
      <c r="Z29" s="213"/>
      <c r="AA29" s="123"/>
      <c r="AB29" s="7"/>
      <c r="AC29" s="224"/>
      <c r="AD29" s="7"/>
      <c r="AE29" s="7"/>
      <c r="AF29" s="7"/>
      <c r="AG29" s="624"/>
    </row>
    <row r="30" spans="1:33" ht="16.5" customHeight="1" thickBot="1">
      <c r="A30" s="346" t="s">
        <v>79</v>
      </c>
      <c r="B30" s="347">
        <v>595</v>
      </c>
      <c r="C30" s="348" t="s">
        <v>73</v>
      </c>
      <c r="D30" s="490">
        <f>D29*F25/1000</f>
        <v>0.5</v>
      </c>
      <c r="E30" s="341">
        <f>D30</f>
        <v>0.5</v>
      </c>
      <c r="F30" s="363">
        <f>ROUND(F29*F25/1000,2)</f>
        <v>0.3</v>
      </c>
      <c r="G30" s="341">
        <f>ROUND(F30,2)</f>
        <v>0.3</v>
      </c>
      <c r="H30" s="363"/>
      <c r="I30" s="341"/>
      <c r="J30" s="569"/>
      <c r="K30" s="350"/>
      <c r="L30" s="350"/>
      <c r="M30" s="378"/>
      <c r="N30" s="341">
        <f>ROUND(N29*B25/1000,2)</f>
        <v>0.53</v>
      </c>
      <c r="O30" s="341"/>
      <c r="P30" s="349"/>
      <c r="Q30" s="422"/>
      <c r="R30" s="350"/>
      <c r="S30" s="350"/>
      <c r="T30" s="379"/>
      <c r="U30" s="364">
        <f>U29*F25/1000</f>
        <v>0.4</v>
      </c>
      <c r="V30" s="341">
        <f>U30</f>
        <v>0.4</v>
      </c>
      <c r="W30" s="341">
        <f>ROUND(W29*B25/1000,2)</f>
        <v>0.09</v>
      </c>
      <c r="X30" s="350"/>
      <c r="Y30" s="350"/>
      <c r="Z30" s="343">
        <f>ROUND(E30+G30+I30+K30+L30+M30+N30+O30+Q30+R30+S30+V30+W30+X30+Y30,2)</f>
        <v>1.82</v>
      </c>
      <c r="AA30" s="344">
        <f>Z30*B30</f>
        <v>1082.9000000000001</v>
      </c>
      <c r="AB30" s="7"/>
      <c r="AC30" s="223">
        <f>Z30+Z127</f>
        <v>3.51</v>
      </c>
      <c r="AD30" s="7" t="str">
        <f>A30</f>
        <v>Масло слив.</v>
      </c>
      <c r="AE30" s="7"/>
      <c r="AF30" s="7"/>
      <c r="AG30" s="7"/>
    </row>
    <row r="31" spans="1:33" ht="15" customHeight="1" thickTop="1">
      <c r="A31" s="133"/>
      <c r="B31" s="121"/>
      <c r="C31" s="77" t="s">
        <v>72</v>
      </c>
      <c r="D31" s="287"/>
      <c r="E31" s="88"/>
      <c r="F31" s="90"/>
      <c r="G31" s="88"/>
      <c r="H31" s="108"/>
      <c r="I31" s="88"/>
      <c r="J31" s="608"/>
      <c r="K31" s="88"/>
      <c r="L31" s="88"/>
      <c r="M31" s="131">
        <v>3</v>
      </c>
      <c r="N31" s="131"/>
      <c r="O31" s="131">
        <v>4.5</v>
      </c>
      <c r="P31" s="439"/>
      <c r="Q31" s="129"/>
      <c r="R31" s="88"/>
      <c r="S31" s="88"/>
      <c r="T31" s="215"/>
      <c r="U31" s="428"/>
      <c r="V31" s="129"/>
      <c r="W31" s="131"/>
      <c r="X31" s="88"/>
      <c r="Y31" s="88"/>
      <c r="Z31" s="214"/>
      <c r="AA31" s="123"/>
      <c r="AB31" s="7"/>
      <c r="AC31" s="224"/>
      <c r="AD31" s="7"/>
      <c r="AE31" s="7"/>
      <c r="AF31" s="7"/>
      <c r="AG31" s="7"/>
    </row>
    <row r="32" spans="1:33" ht="15.75" customHeight="1" thickBot="1">
      <c r="A32" s="346" t="s">
        <v>78</v>
      </c>
      <c r="B32" s="347">
        <v>104.42</v>
      </c>
      <c r="C32" s="348" t="s">
        <v>73</v>
      </c>
      <c r="D32" s="385"/>
      <c r="E32" s="350"/>
      <c r="F32" s="363"/>
      <c r="G32" s="350"/>
      <c r="H32" s="349"/>
      <c r="I32" s="350"/>
      <c r="J32" s="569"/>
      <c r="K32" s="350"/>
      <c r="L32" s="420"/>
      <c r="M32" s="341">
        <f>M31*B25/1000</f>
        <v>0.3</v>
      </c>
      <c r="N32" s="341">
        <f>N31*B25/1000</f>
        <v>0</v>
      </c>
      <c r="O32" s="341">
        <f>O31*B25/1000</f>
        <v>0.45</v>
      </c>
      <c r="P32" s="376"/>
      <c r="Q32" s="350"/>
      <c r="R32" s="420"/>
      <c r="S32" s="350"/>
      <c r="T32" s="379"/>
      <c r="U32" s="364"/>
      <c r="V32" s="350"/>
      <c r="W32" s="350"/>
      <c r="X32" s="350"/>
      <c r="Y32" s="350"/>
      <c r="Z32" s="343">
        <f>ROUND(E32+G32+I32+K32+L32+M32+N32+O32+Q32+R32+S32+V32+W32+X32+Y32,2)</f>
        <v>0.75</v>
      </c>
      <c r="AA32" s="344">
        <f>Z32*B32</f>
        <v>78.314999999999998</v>
      </c>
      <c r="AB32" s="7"/>
      <c r="AC32" s="223">
        <f>Z32+Z129</f>
        <v>1.38</v>
      </c>
      <c r="AD32" s="7" t="str">
        <f>A32</f>
        <v>Масло раст.</v>
      </c>
      <c r="AE32" s="7"/>
      <c r="AF32" s="7"/>
      <c r="AG32" s="7"/>
    </row>
    <row r="33" spans="1:33" ht="14.25" customHeight="1" thickTop="1">
      <c r="A33" s="133"/>
      <c r="B33" s="121"/>
      <c r="C33" s="77" t="s">
        <v>72</v>
      </c>
      <c r="D33" s="287"/>
      <c r="E33" s="88"/>
      <c r="F33" s="90">
        <v>135</v>
      </c>
      <c r="G33" s="129">
        <f>F33/F26*G26</f>
        <v>135</v>
      </c>
      <c r="H33" s="108">
        <v>92</v>
      </c>
      <c r="I33" s="113">
        <f>H33/H26*I26</f>
        <v>92</v>
      </c>
      <c r="J33" s="608"/>
      <c r="K33" s="113"/>
      <c r="L33" s="88"/>
      <c r="M33" s="88"/>
      <c r="N33" s="88"/>
      <c r="O33" s="566"/>
      <c r="P33" s="439"/>
      <c r="Q33" s="570"/>
      <c r="R33" s="88"/>
      <c r="S33" s="88"/>
      <c r="T33" s="215"/>
      <c r="U33" s="428"/>
      <c r="V33" s="129"/>
      <c r="W33" s="131">
        <v>10</v>
      </c>
      <c r="X33" s="131"/>
      <c r="Y33" s="88"/>
      <c r="Z33" s="214"/>
      <c r="AA33" s="123"/>
      <c r="AB33" s="7"/>
      <c r="AC33" s="224"/>
      <c r="AD33" s="7"/>
      <c r="AE33" s="7"/>
      <c r="AF33" s="7"/>
      <c r="AG33" s="7"/>
    </row>
    <row r="34" spans="1:33" ht="15.95" customHeight="1" thickBot="1">
      <c r="A34" s="346" t="s">
        <v>81</v>
      </c>
      <c r="B34" s="347">
        <v>67.8</v>
      </c>
      <c r="C34" s="348" t="s">
        <v>73</v>
      </c>
      <c r="D34" s="385"/>
      <c r="E34" s="350"/>
      <c r="F34" s="363">
        <f>F33*F25/1000</f>
        <v>13.5</v>
      </c>
      <c r="G34" s="365">
        <f>F34</f>
        <v>13.5</v>
      </c>
      <c r="H34" s="468">
        <f>H33*D25/1000</f>
        <v>9.1999999999999993</v>
      </c>
      <c r="I34" s="365">
        <f>H34</f>
        <v>9.1999999999999993</v>
      </c>
      <c r="J34" s="681"/>
      <c r="K34" s="350"/>
      <c r="L34" s="350"/>
      <c r="M34" s="350"/>
      <c r="N34" s="350"/>
      <c r="O34" s="569"/>
      <c r="P34" s="575"/>
      <c r="Q34" s="350"/>
      <c r="R34" s="350"/>
      <c r="S34" s="350"/>
      <c r="T34" s="379"/>
      <c r="U34" s="364"/>
      <c r="V34" s="350"/>
      <c r="W34" s="365">
        <f>W33*B25/1000</f>
        <v>1</v>
      </c>
      <c r="X34" s="341"/>
      <c r="Y34" s="350"/>
      <c r="Z34" s="356">
        <f>ROUND(E34+G34+I34+K34+L34+M34+N34+O34+Q34+R34+S34+V34+W34+X34+Y34,2)</f>
        <v>23.7</v>
      </c>
      <c r="AA34" s="344">
        <f>Z34*B34</f>
        <v>1606.86</v>
      </c>
      <c r="AB34" s="7"/>
      <c r="AC34" s="225">
        <f>Z34+Z131</f>
        <v>47.4</v>
      </c>
      <c r="AD34" s="7" t="str">
        <f>A34</f>
        <v>Молоко св.</v>
      </c>
      <c r="AE34" s="7"/>
      <c r="AF34" s="7"/>
      <c r="AG34" s="7"/>
    </row>
    <row r="35" spans="1:33" ht="15" customHeight="1" thickTop="1">
      <c r="A35" s="133"/>
      <c r="B35" s="121"/>
      <c r="C35" s="77" t="s">
        <v>72</v>
      </c>
      <c r="D35" s="287"/>
      <c r="E35" s="88"/>
      <c r="F35" s="497">
        <v>23.1</v>
      </c>
      <c r="G35" s="129">
        <f>F35/F26*G26</f>
        <v>23.1</v>
      </c>
      <c r="H35" s="108"/>
      <c r="I35" s="88"/>
      <c r="J35" s="608"/>
      <c r="K35" s="88"/>
      <c r="L35" s="88"/>
      <c r="M35" s="88"/>
      <c r="N35" s="88"/>
      <c r="O35" s="280"/>
      <c r="P35" s="439"/>
      <c r="Q35" s="88"/>
      <c r="R35" s="88"/>
      <c r="S35" s="609"/>
      <c r="T35" s="635"/>
      <c r="U35" s="428"/>
      <c r="V35" s="129"/>
      <c r="W35" s="129"/>
      <c r="X35" s="88"/>
      <c r="Y35" s="88"/>
      <c r="Z35" s="214"/>
      <c r="AA35" s="123"/>
      <c r="AB35" s="7"/>
      <c r="AC35" s="224"/>
      <c r="AD35" s="7"/>
      <c r="AE35" s="7"/>
      <c r="AF35" s="7"/>
      <c r="AG35" s="7"/>
    </row>
    <row r="36" spans="1:33" ht="15.95" customHeight="1" thickBot="1">
      <c r="A36" s="346" t="s">
        <v>100</v>
      </c>
      <c r="B36" s="347">
        <v>40.78</v>
      </c>
      <c r="C36" s="348" t="s">
        <v>73</v>
      </c>
      <c r="D36" s="385"/>
      <c r="E36" s="350"/>
      <c r="F36" s="363">
        <f>F35*F25/1000</f>
        <v>2.31</v>
      </c>
      <c r="G36" s="341">
        <f>F36</f>
        <v>2.31</v>
      </c>
      <c r="H36" s="349"/>
      <c r="I36" s="350"/>
      <c r="J36" s="569"/>
      <c r="K36" s="350"/>
      <c r="L36" s="350"/>
      <c r="M36" s="350"/>
      <c r="N36" s="350"/>
      <c r="O36" s="420"/>
      <c r="P36" s="376"/>
      <c r="Q36" s="350"/>
      <c r="R36" s="350"/>
      <c r="S36" s="420"/>
      <c r="T36" s="398"/>
      <c r="U36" s="364"/>
      <c r="V36" s="350"/>
      <c r="W36" s="341"/>
      <c r="X36" s="350"/>
      <c r="Y36" s="350"/>
      <c r="Z36" s="343">
        <f>ROUND(E36+G36+I36+K36+L36+M36+N36+O36+Q36+R36+S36+V36+W36+X36+Y36,2)</f>
        <v>2.31</v>
      </c>
      <c r="AA36" s="344">
        <f>Z36*B36</f>
        <v>94.201800000000006</v>
      </c>
      <c r="AB36" s="7"/>
      <c r="AC36" s="225">
        <f>Z36+Z133</f>
        <v>4.62</v>
      </c>
      <c r="AD36" s="7" t="str">
        <f>A36</f>
        <v>Геркулес</v>
      </c>
      <c r="AE36" s="7"/>
      <c r="AF36" s="7"/>
      <c r="AG36" s="7"/>
    </row>
    <row r="37" spans="1:33" ht="15" customHeight="1" thickTop="1">
      <c r="A37" s="133"/>
      <c r="B37" s="121"/>
      <c r="C37" s="77" t="s">
        <v>72</v>
      </c>
      <c r="D37" s="287"/>
      <c r="E37" s="88"/>
      <c r="F37" s="497"/>
      <c r="G37" s="129"/>
      <c r="H37" s="108"/>
      <c r="I37" s="88"/>
      <c r="J37" s="608"/>
      <c r="K37" s="88"/>
      <c r="L37" s="88"/>
      <c r="M37" s="88"/>
      <c r="N37" s="129">
        <v>4</v>
      </c>
      <c r="O37" s="281"/>
      <c r="P37" s="555"/>
      <c r="Q37" s="131"/>
      <c r="R37" s="88"/>
      <c r="S37" s="88"/>
      <c r="T37" s="215"/>
      <c r="U37" s="430">
        <f>5/100*U26</f>
        <v>5</v>
      </c>
      <c r="V37" s="129">
        <f>U37/U26*V26</f>
        <v>5</v>
      </c>
      <c r="W37" s="129"/>
      <c r="X37" s="88"/>
      <c r="Y37" s="88"/>
      <c r="Z37" s="214"/>
      <c r="AA37" s="123"/>
      <c r="AB37" s="7"/>
      <c r="AC37" s="224"/>
      <c r="AD37" s="7"/>
      <c r="AE37" s="7"/>
      <c r="AF37" s="7"/>
      <c r="AG37" s="7"/>
    </row>
    <row r="38" spans="1:33" ht="16.5" customHeight="1" thickBot="1">
      <c r="A38" s="346" t="s">
        <v>22</v>
      </c>
      <c r="B38" s="347">
        <v>10</v>
      </c>
      <c r="C38" s="348" t="s">
        <v>74</v>
      </c>
      <c r="D38" s="385"/>
      <c r="E38" s="350"/>
      <c r="F38" s="530"/>
      <c r="G38" s="386"/>
      <c r="H38" s="349"/>
      <c r="I38" s="350"/>
      <c r="J38" s="569"/>
      <c r="K38" s="350"/>
      <c r="L38" s="350"/>
      <c r="M38" s="350"/>
      <c r="N38" s="470">
        <f>ROUND(N37*B25/48,0)</f>
        <v>8</v>
      </c>
      <c r="O38" s="372"/>
      <c r="P38" s="556"/>
      <c r="Q38" s="350"/>
      <c r="R38" s="350"/>
      <c r="S38" s="350"/>
      <c r="T38" s="623"/>
      <c r="U38" s="530">
        <f>ROUND(U37*U25/48,0)</f>
        <v>10</v>
      </c>
      <c r="V38" s="470">
        <f>U38</f>
        <v>10</v>
      </c>
      <c r="W38" s="470"/>
      <c r="X38" s="350"/>
      <c r="Y38" s="350"/>
      <c r="Z38" s="472">
        <f>ROUND(E38+G38+I38+K38+L38+M38+N38+O38+Q38+R38+S38+T38+V38+W38+X38+Y38,0)</f>
        <v>18</v>
      </c>
      <c r="AA38" s="344">
        <f>Z38*B38</f>
        <v>180</v>
      </c>
      <c r="AB38" s="7"/>
      <c r="AC38" s="475">
        <f>Z38+Z135</f>
        <v>34</v>
      </c>
      <c r="AD38" s="7" t="str">
        <f>A38</f>
        <v>Яйцо</v>
      </c>
      <c r="AE38" s="7"/>
      <c r="AF38" s="7"/>
      <c r="AG38" s="7"/>
    </row>
    <row r="39" spans="1:33" ht="15" customHeight="1" thickTop="1">
      <c r="A39" s="133"/>
      <c r="B39" s="121"/>
      <c r="C39" s="77" t="s">
        <v>72</v>
      </c>
      <c r="D39" s="287"/>
      <c r="E39" s="88"/>
      <c r="F39" s="90"/>
      <c r="G39" s="113"/>
      <c r="H39" s="108"/>
      <c r="I39" s="88"/>
      <c r="J39" s="608"/>
      <c r="K39" s="88"/>
      <c r="L39" s="409"/>
      <c r="M39" s="88"/>
      <c r="N39" s="131"/>
      <c r="O39" s="281"/>
      <c r="P39" s="555"/>
      <c r="Q39" s="113"/>
      <c r="R39" s="88"/>
      <c r="S39" s="88"/>
      <c r="T39" s="215"/>
      <c r="U39" s="428">
        <f>8/100*U26</f>
        <v>8</v>
      </c>
      <c r="V39" s="129">
        <f>U39/U26*V26</f>
        <v>8</v>
      </c>
      <c r="W39" s="131"/>
      <c r="X39" s="88"/>
      <c r="Y39" s="88"/>
      <c r="Z39" s="214"/>
      <c r="AA39" s="123"/>
      <c r="AB39" s="7"/>
      <c r="AC39" s="224"/>
      <c r="AD39" s="7"/>
      <c r="AE39" s="7"/>
      <c r="AF39" s="7"/>
      <c r="AG39" s="7"/>
    </row>
    <row r="40" spans="1:33" ht="18.2" customHeight="1" thickBot="1">
      <c r="A40" s="346" t="s">
        <v>120</v>
      </c>
      <c r="B40" s="347">
        <v>37.53</v>
      </c>
      <c r="C40" s="348" t="s">
        <v>73</v>
      </c>
      <c r="D40" s="385"/>
      <c r="E40" s="350"/>
      <c r="F40" s="363"/>
      <c r="G40" s="350"/>
      <c r="H40" s="349"/>
      <c r="I40" s="350"/>
      <c r="J40" s="569"/>
      <c r="K40" s="350"/>
      <c r="L40" s="342"/>
      <c r="M40" s="350"/>
      <c r="N40" s="350"/>
      <c r="O40" s="420"/>
      <c r="P40" s="556"/>
      <c r="Q40" s="350"/>
      <c r="R40" s="350"/>
      <c r="S40" s="350"/>
      <c r="T40" s="379"/>
      <c r="U40" s="364">
        <f>U39*F25/1000</f>
        <v>0.8</v>
      </c>
      <c r="V40" s="341">
        <f>U40</f>
        <v>0.8</v>
      </c>
      <c r="W40" s="350"/>
      <c r="X40" s="350"/>
      <c r="Y40" s="350"/>
      <c r="Z40" s="343">
        <f>ROUND(E40+G40+I40+K40+L40+M40+N40+O40+Q40+R40+S40+V40+W40+X40+Y40,2)</f>
        <v>0.8</v>
      </c>
      <c r="AA40" s="344">
        <f>Z40*B40</f>
        <v>30.024000000000001</v>
      </c>
      <c r="AB40" s="7"/>
      <c r="AC40" s="223">
        <f>Z40+Z137</f>
        <v>1.44</v>
      </c>
      <c r="AD40" s="7" t="str">
        <f>A40</f>
        <v>Манная кр.</v>
      </c>
      <c r="AE40" s="7"/>
      <c r="AF40" s="7"/>
      <c r="AG40" s="7"/>
    </row>
    <row r="41" spans="1:33" ht="15" customHeight="1" thickTop="1">
      <c r="A41" s="133"/>
      <c r="B41" s="121"/>
      <c r="C41" s="77" t="s">
        <v>72</v>
      </c>
      <c r="D41" s="287"/>
      <c r="E41" s="88"/>
      <c r="F41" s="90"/>
      <c r="G41" s="113"/>
      <c r="H41" s="108"/>
      <c r="I41" s="88"/>
      <c r="J41" s="608"/>
      <c r="K41" s="88"/>
      <c r="L41" s="88"/>
      <c r="M41" s="131"/>
      <c r="N41" s="583"/>
      <c r="O41" s="131">
        <v>35</v>
      </c>
      <c r="P41" s="439"/>
      <c r="Q41" s="129"/>
      <c r="R41" s="88"/>
      <c r="S41" s="88"/>
      <c r="T41" s="215"/>
      <c r="U41" s="428"/>
      <c r="V41" s="113"/>
      <c r="W41" s="113"/>
      <c r="X41" s="88"/>
      <c r="Y41" s="88"/>
      <c r="Z41" s="213"/>
      <c r="AA41" s="123"/>
      <c r="AB41" s="7"/>
      <c r="AC41" s="224"/>
      <c r="AD41" s="7"/>
      <c r="AE41" s="7"/>
      <c r="AF41" s="7"/>
      <c r="AG41" s="7"/>
    </row>
    <row r="42" spans="1:33" ht="15.75" customHeight="1" thickBot="1">
      <c r="A42" s="346" t="s">
        <v>24</v>
      </c>
      <c r="B42" s="347">
        <v>81.92</v>
      </c>
      <c r="C42" s="348" t="s">
        <v>73</v>
      </c>
      <c r="D42" s="385"/>
      <c r="E42" s="350"/>
      <c r="F42" s="363"/>
      <c r="G42" s="350"/>
      <c r="H42" s="349"/>
      <c r="I42" s="350"/>
      <c r="J42" s="569"/>
      <c r="K42" s="350"/>
      <c r="L42" s="350"/>
      <c r="M42" s="350"/>
      <c r="N42" s="341"/>
      <c r="O42" s="341">
        <f>O41*B25/1000</f>
        <v>3.5</v>
      </c>
      <c r="P42" s="575"/>
      <c r="Q42" s="350"/>
      <c r="R42" s="350"/>
      <c r="S42" s="350"/>
      <c r="T42" s="379"/>
      <c r="U42" s="364"/>
      <c r="V42" s="350"/>
      <c r="W42" s="341"/>
      <c r="X42" s="350"/>
      <c r="Y42" s="350"/>
      <c r="Z42" s="343">
        <f>ROUND(E42+G42+I42+K42+L42+M42+N42+O42+Q42+R42+S42+V42+W42+X42+Y42,2)</f>
        <v>3.5</v>
      </c>
      <c r="AA42" s="344">
        <f>Z42*B42</f>
        <v>286.72000000000003</v>
      </c>
      <c r="AB42" s="7"/>
      <c r="AC42" s="223">
        <f>Z42+Z139</f>
        <v>7</v>
      </c>
      <c r="AD42" s="7" t="str">
        <f>A42</f>
        <v>Рис</v>
      </c>
      <c r="AE42" s="7"/>
      <c r="AF42" s="7"/>
      <c r="AG42" s="7"/>
    </row>
    <row r="43" spans="1:33" ht="15" customHeight="1" thickTop="1">
      <c r="A43" s="133"/>
      <c r="B43" s="121"/>
      <c r="C43" s="77" t="s">
        <v>72</v>
      </c>
      <c r="D43" s="287"/>
      <c r="E43" s="88"/>
      <c r="F43" s="497"/>
      <c r="G43" s="129"/>
      <c r="H43" s="108"/>
      <c r="I43" s="88"/>
      <c r="J43" s="608"/>
      <c r="K43" s="88"/>
      <c r="L43" s="88"/>
      <c r="M43" s="88"/>
      <c r="N43" s="583">
        <v>15</v>
      </c>
      <c r="O43" s="280"/>
      <c r="P43" s="177"/>
      <c r="Q43" s="129"/>
      <c r="R43" s="88"/>
      <c r="S43" s="88"/>
      <c r="T43" s="215"/>
      <c r="U43" s="428">
        <f>4/100*U26</f>
        <v>4</v>
      </c>
      <c r="V43" s="129">
        <f>U43/U26*V26</f>
        <v>4</v>
      </c>
      <c r="W43" s="131">
        <v>0.9</v>
      </c>
      <c r="X43" s="88"/>
      <c r="Y43" s="88"/>
      <c r="Z43" s="214"/>
      <c r="AA43" s="123"/>
      <c r="AB43" s="7"/>
      <c r="AC43" s="224"/>
      <c r="AD43" s="7"/>
      <c r="AE43" s="7"/>
      <c r="AF43" s="7"/>
      <c r="AG43" s="7"/>
    </row>
    <row r="44" spans="1:33" ht="15.75" customHeight="1" thickBot="1">
      <c r="A44" s="346" t="s">
        <v>76</v>
      </c>
      <c r="B44" s="347">
        <v>29.08</v>
      </c>
      <c r="C44" s="348" t="s">
        <v>73</v>
      </c>
      <c r="D44" s="385"/>
      <c r="E44" s="350"/>
      <c r="F44" s="363"/>
      <c r="G44" s="350"/>
      <c r="H44" s="349"/>
      <c r="I44" s="350"/>
      <c r="J44" s="569"/>
      <c r="K44" s="350"/>
      <c r="L44" s="350"/>
      <c r="M44" s="350"/>
      <c r="N44" s="341">
        <f>N43*B25/1000</f>
        <v>1.5</v>
      </c>
      <c r="O44" s="420"/>
      <c r="P44" s="349"/>
      <c r="Q44" s="422"/>
      <c r="R44" s="350"/>
      <c r="S44" s="350"/>
      <c r="T44" s="379"/>
      <c r="U44" s="364">
        <f>U43*F25/1000</f>
        <v>0.4</v>
      </c>
      <c r="V44" s="341">
        <f>U44</f>
        <v>0.4</v>
      </c>
      <c r="W44" s="341">
        <f>W43*B25/1000</f>
        <v>0.09</v>
      </c>
      <c r="X44" s="350"/>
      <c r="Y44" s="350"/>
      <c r="Z44" s="343">
        <f>ROUND(E44+G44+I44+K44+L44+M44+N44+O44+Q44+R44+S44+V44+W44+X44+Y44,2)</f>
        <v>1.99</v>
      </c>
      <c r="AA44" s="344">
        <f>Z44*B44</f>
        <v>57.869199999999999</v>
      </c>
      <c r="AB44" s="7"/>
      <c r="AC44" s="223">
        <f>Z44+Z141</f>
        <v>3.75</v>
      </c>
      <c r="AD44" s="7" t="str">
        <f>A44</f>
        <v>Мука пшен.</v>
      </c>
      <c r="AE44" s="7"/>
      <c r="AF44" s="7"/>
      <c r="AG44" s="7"/>
    </row>
    <row r="45" spans="1:33" ht="15" customHeight="1" thickTop="1">
      <c r="A45" s="133"/>
      <c r="B45" s="121"/>
      <c r="C45" s="77" t="s">
        <v>72</v>
      </c>
      <c r="D45" s="287"/>
      <c r="E45" s="88"/>
      <c r="F45" s="497">
        <v>3</v>
      </c>
      <c r="G45" s="129">
        <f>F45/F26*G26</f>
        <v>3</v>
      </c>
      <c r="H45" s="108">
        <v>6</v>
      </c>
      <c r="I45" s="129">
        <f>H45/H26*I26</f>
        <v>6</v>
      </c>
      <c r="J45" s="608"/>
      <c r="K45" s="129"/>
      <c r="L45" s="88"/>
      <c r="M45" s="131"/>
      <c r="N45" s="131"/>
      <c r="O45" s="281"/>
      <c r="P45" s="555"/>
      <c r="Q45" s="129"/>
      <c r="R45" s="131">
        <v>10</v>
      </c>
      <c r="S45" s="88"/>
      <c r="T45" s="215"/>
      <c r="U45" s="428">
        <f>6/100*U26</f>
        <v>6</v>
      </c>
      <c r="V45" s="129">
        <f>U45/U26*V26</f>
        <v>6</v>
      </c>
      <c r="W45" s="131">
        <v>1.6</v>
      </c>
      <c r="X45" s="131">
        <v>7</v>
      </c>
      <c r="Y45" s="88"/>
      <c r="Z45" s="214"/>
      <c r="AA45" s="123"/>
      <c r="AB45" s="7"/>
      <c r="AC45" s="224"/>
      <c r="AD45" s="7"/>
      <c r="AE45" s="7"/>
      <c r="AF45" s="7"/>
      <c r="AG45" s="7"/>
    </row>
    <row r="46" spans="1:33" ht="16.5" customHeight="1" thickBot="1">
      <c r="A46" s="346" t="s">
        <v>77</v>
      </c>
      <c r="B46" s="347">
        <v>62.77</v>
      </c>
      <c r="C46" s="348" t="s">
        <v>73</v>
      </c>
      <c r="D46" s="385"/>
      <c r="E46" s="350"/>
      <c r="F46" s="363">
        <f>F45*F25/1000</f>
        <v>0.3</v>
      </c>
      <c r="G46" s="341">
        <f>ROUND(F46,2)</f>
        <v>0.3</v>
      </c>
      <c r="H46" s="349">
        <f>H45*D25/1000</f>
        <v>0.6</v>
      </c>
      <c r="I46" s="341">
        <f>ROUND(H46,2)</f>
        <v>0.6</v>
      </c>
      <c r="J46" s="569"/>
      <c r="K46" s="341"/>
      <c r="L46" s="350"/>
      <c r="M46" s="350"/>
      <c r="N46" s="350"/>
      <c r="O46" s="420"/>
      <c r="P46" s="556"/>
      <c r="Q46" s="350"/>
      <c r="R46" s="341">
        <f>ROUND(R45*B25/1000,2)</f>
        <v>1</v>
      </c>
      <c r="S46" s="350"/>
      <c r="T46" s="379"/>
      <c r="U46" s="364">
        <f>U45*F25/1000</f>
        <v>0.6</v>
      </c>
      <c r="V46" s="341">
        <f>U46</f>
        <v>0.6</v>
      </c>
      <c r="W46" s="341">
        <f>W45*B25/1000</f>
        <v>0.16</v>
      </c>
      <c r="X46" s="341">
        <f>X45*B25/1000</f>
        <v>0.7</v>
      </c>
      <c r="Y46" s="350"/>
      <c r="Z46" s="343">
        <f>ROUND(E46+G46+I46+K46+L46+M46+N46+O46+Q46+R46+S46+V46+W46+X46+Y46,2)</f>
        <v>3.36</v>
      </c>
      <c r="AA46" s="344">
        <f>Z46*B46</f>
        <v>210.90719999999999</v>
      </c>
      <c r="AB46" s="7"/>
      <c r="AC46" s="223">
        <f>Z46+Z143</f>
        <v>6.32</v>
      </c>
      <c r="AD46" s="7" t="str">
        <f>A46</f>
        <v>Сахар</v>
      </c>
      <c r="AE46" s="7"/>
      <c r="AF46" s="7"/>
      <c r="AG46" s="7"/>
    </row>
    <row r="47" spans="1:33" ht="15" customHeight="1" thickTop="1">
      <c r="A47" s="133"/>
      <c r="B47" s="121"/>
      <c r="C47" s="77" t="s">
        <v>72</v>
      </c>
      <c r="D47" s="287"/>
      <c r="E47" s="88"/>
      <c r="F47" s="497"/>
      <c r="G47" s="113"/>
      <c r="H47" s="108"/>
      <c r="I47" s="88"/>
      <c r="J47" s="608"/>
      <c r="K47" s="88"/>
      <c r="L47" s="88"/>
      <c r="M47" s="129"/>
      <c r="N47" s="88"/>
      <c r="O47" s="282"/>
      <c r="P47" s="177"/>
      <c r="Q47" s="129"/>
      <c r="R47" s="131"/>
      <c r="S47" s="88"/>
      <c r="T47" s="215"/>
      <c r="U47" s="428">
        <f>4/100*U26</f>
        <v>4</v>
      </c>
      <c r="V47" s="129">
        <f>U47/U26*V26</f>
        <v>4</v>
      </c>
      <c r="W47" s="131"/>
      <c r="X47" s="88"/>
      <c r="Y47" s="88"/>
      <c r="Z47" s="214"/>
      <c r="AA47" s="123"/>
      <c r="AB47" s="7"/>
      <c r="AC47" s="224"/>
      <c r="AD47" s="7"/>
      <c r="AE47" s="7"/>
      <c r="AF47" s="7"/>
      <c r="AG47" s="7"/>
    </row>
    <row r="48" spans="1:33" ht="15.75" customHeight="1" thickBot="1">
      <c r="A48" s="346" t="s">
        <v>20</v>
      </c>
      <c r="B48" s="347">
        <v>227</v>
      </c>
      <c r="C48" s="348" t="s">
        <v>73</v>
      </c>
      <c r="D48" s="385"/>
      <c r="E48" s="350"/>
      <c r="F48" s="363"/>
      <c r="G48" s="350"/>
      <c r="H48" s="349"/>
      <c r="I48" s="350"/>
      <c r="J48" s="569"/>
      <c r="K48" s="350"/>
      <c r="L48" s="350"/>
      <c r="M48" s="341"/>
      <c r="N48" s="341"/>
      <c r="O48" s="372"/>
      <c r="P48" s="349"/>
      <c r="Q48" s="422"/>
      <c r="R48" s="350"/>
      <c r="S48" s="350"/>
      <c r="T48" s="379"/>
      <c r="U48" s="364">
        <f>U47*F25/1000</f>
        <v>0.4</v>
      </c>
      <c r="V48" s="341">
        <f>U48</f>
        <v>0.4</v>
      </c>
      <c r="W48" s="341">
        <f>W47*B25/1000</f>
        <v>0</v>
      </c>
      <c r="X48" s="350"/>
      <c r="Y48" s="350"/>
      <c r="Z48" s="343">
        <f>ROUND(E48+G48+I48+K48+L48+M48+N48+O48+Q48+R48+S48+V48+W48+X48+Y48,2)</f>
        <v>0.4</v>
      </c>
      <c r="AA48" s="344">
        <f>Z48*B48</f>
        <v>90.800000000000011</v>
      </c>
      <c r="AB48" s="7"/>
      <c r="AC48" s="223">
        <f>Z48+Z145</f>
        <v>0.72</v>
      </c>
      <c r="AD48" s="7" t="str">
        <f>A48</f>
        <v>Сметана</v>
      </c>
      <c r="AE48" s="7"/>
      <c r="AF48" s="7"/>
      <c r="AG48" s="7"/>
    </row>
    <row r="49" spans="1:33" ht="12.75" customHeight="1" thickTop="1">
      <c r="A49" s="133"/>
      <c r="B49" s="102"/>
      <c r="C49" s="77" t="s">
        <v>72</v>
      </c>
      <c r="D49" s="287"/>
      <c r="E49" s="104"/>
      <c r="F49" s="103"/>
      <c r="G49" s="104"/>
      <c r="H49" s="108"/>
      <c r="I49" s="104"/>
      <c r="J49" s="608"/>
      <c r="K49" s="104"/>
      <c r="L49" s="137"/>
      <c r="M49" s="104"/>
      <c r="N49" s="104"/>
      <c r="O49" s="283"/>
      <c r="P49" s="557"/>
      <c r="Q49" s="104"/>
      <c r="R49" s="88">
        <v>41</v>
      </c>
      <c r="S49" s="104"/>
      <c r="T49" s="636"/>
      <c r="U49" s="265"/>
      <c r="V49" s="104"/>
      <c r="W49" s="104"/>
      <c r="X49" s="104"/>
      <c r="Y49" s="104"/>
      <c r="Z49" s="214"/>
      <c r="AA49" s="123"/>
      <c r="AB49" s="7"/>
      <c r="AC49" s="224"/>
      <c r="AD49" s="7"/>
      <c r="AE49" s="7"/>
      <c r="AF49" s="7"/>
      <c r="AG49" s="7"/>
    </row>
    <row r="50" spans="1:33" ht="15" customHeight="1" thickBot="1">
      <c r="A50" s="346" t="s">
        <v>151</v>
      </c>
      <c r="B50" s="347">
        <v>100</v>
      </c>
      <c r="C50" s="348" t="s">
        <v>73</v>
      </c>
      <c r="D50" s="385"/>
      <c r="E50" s="350"/>
      <c r="F50" s="363"/>
      <c r="G50" s="350"/>
      <c r="H50" s="349"/>
      <c r="I50" s="350"/>
      <c r="J50" s="569"/>
      <c r="K50" s="350"/>
      <c r="L50" s="341"/>
      <c r="M50" s="350"/>
      <c r="N50" s="350"/>
      <c r="O50" s="420"/>
      <c r="P50" s="556"/>
      <c r="Q50" s="350"/>
      <c r="R50" s="341">
        <f>R49*B25/1000</f>
        <v>4.0999999999999996</v>
      </c>
      <c r="S50" s="350"/>
      <c r="T50" s="379"/>
      <c r="U50" s="360"/>
      <c r="V50" s="350"/>
      <c r="W50" s="350"/>
      <c r="X50" s="350"/>
      <c r="Y50" s="350"/>
      <c r="Z50" s="343">
        <f>ROUND(E50+G50+I50+K50+L50+M50+N50+O50+Q50+R50+S50+V50+W50+X50+Y50,2)</f>
        <v>4.0999999999999996</v>
      </c>
      <c r="AA50" s="344">
        <f>Z50*B50</f>
        <v>409.99999999999994</v>
      </c>
      <c r="AB50" s="7"/>
      <c r="AC50" s="226">
        <f>Z50+Z147</f>
        <v>7.5</v>
      </c>
      <c r="AD50" s="7" t="str">
        <f>A50</f>
        <v>Яблоки св.</v>
      </c>
      <c r="AE50" s="7"/>
      <c r="AF50" s="7"/>
      <c r="AG50" s="7"/>
    </row>
    <row r="51" spans="1:33" ht="12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18" t="s">
        <v>71</v>
      </c>
      <c r="AC51" s="227"/>
    </row>
    <row r="52" spans="1:33" ht="12" customHeight="1">
      <c r="A52" s="26" t="s">
        <v>53</v>
      </c>
      <c r="B52" s="944"/>
      <c r="C52" s="940"/>
      <c r="D52" s="940"/>
      <c r="E52" s="14"/>
      <c r="F52" s="14"/>
      <c r="G52" s="14"/>
      <c r="H52" s="14"/>
      <c r="I52" s="14"/>
      <c r="J52" s="14"/>
      <c r="K52" s="14"/>
      <c r="L52" s="14"/>
      <c r="M52" s="14"/>
      <c r="N52" s="28" t="s">
        <v>41</v>
      </c>
      <c r="O52" s="28"/>
      <c r="P52" s="14"/>
      <c r="Q52" s="14"/>
      <c r="R52" s="28" t="s">
        <v>11</v>
      </c>
      <c r="S52" s="28"/>
      <c r="T52" s="28"/>
      <c r="U52" s="14"/>
      <c r="V52" s="14"/>
      <c r="W52" s="14"/>
      <c r="X52" s="14"/>
      <c r="Y52" s="22"/>
      <c r="Z52" s="1047" t="s">
        <v>8</v>
      </c>
      <c r="AA52" s="1048"/>
      <c r="AB52" s="7"/>
      <c r="AC52" s="228"/>
      <c r="AD52" s="7"/>
      <c r="AE52" s="7"/>
      <c r="AF52" s="7"/>
      <c r="AG52" s="7"/>
    </row>
    <row r="53" spans="1:33" ht="12" customHeight="1">
      <c r="A53" s="185"/>
      <c r="B53" s="19"/>
      <c r="C53" s="5" t="s">
        <v>52</v>
      </c>
      <c r="D53" s="504"/>
      <c r="E53" s="1052" t="str">
        <f>E19</f>
        <v>З А В Т Р А К</v>
      </c>
      <c r="F53" s="1052"/>
      <c r="G53" s="1052"/>
      <c r="H53" s="1052"/>
      <c r="I53" s="1052"/>
      <c r="J53" s="1052"/>
      <c r="K53" s="1053"/>
      <c r="L53" s="188" t="s">
        <v>69</v>
      </c>
      <c r="M53" s="1056" t="s">
        <v>16</v>
      </c>
      <c r="N53" s="1052"/>
      <c r="O53" s="1052"/>
      <c r="P53" s="1052"/>
      <c r="Q53" s="1052"/>
      <c r="R53" s="1052"/>
      <c r="S53" s="1053"/>
      <c r="T53" s="632"/>
      <c r="U53" s="1052" t="str">
        <f>U19</f>
        <v>П О Л Д Н И К</v>
      </c>
      <c r="V53" s="1052"/>
      <c r="W53" s="1052"/>
      <c r="X53" s="1052"/>
      <c r="Y53" s="1052"/>
      <c r="Z53" s="1058" t="s">
        <v>3</v>
      </c>
      <c r="AA53" s="1059"/>
      <c r="AB53" s="7"/>
      <c r="AC53" s="228"/>
      <c r="AD53" s="7"/>
      <c r="AE53" s="7"/>
      <c r="AF53" s="7"/>
      <c r="AG53" s="7"/>
    </row>
    <row r="54" spans="1:33" ht="0.75" customHeight="1">
      <c r="A54" s="187"/>
      <c r="B54" s="5"/>
      <c r="C54" s="5" t="s">
        <v>51</v>
      </c>
      <c r="D54" s="507"/>
      <c r="E54" s="1054"/>
      <c r="F54" s="1054"/>
      <c r="G54" s="1054"/>
      <c r="H54" s="1054"/>
      <c r="I54" s="1054"/>
      <c r="J54" s="1054"/>
      <c r="K54" s="1055"/>
      <c r="L54" s="190"/>
      <c r="M54" s="1057"/>
      <c r="N54" s="1054"/>
      <c r="O54" s="1054"/>
      <c r="P54" s="1054"/>
      <c r="Q54" s="1054"/>
      <c r="R54" s="1054"/>
      <c r="S54" s="1055"/>
      <c r="T54" s="633"/>
      <c r="U54" s="1054"/>
      <c r="V54" s="1054"/>
      <c r="W54" s="1054"/>
      <c r="X54" s="1054"/>
      <c r="Y54" s="1054"/>
      <c r="Z54" s="1047" t="s">
        <v>36</v>
      </c>
      <c r="AA54" s="1048"/>
      <c r="AB54" s="8"/>
      <c r="AC54" s="228"/>
      <c r="AD54" s="7"/>
      <c r="AE54" s="7"/>
      <c r="AF54" s="7"/>
      <c r="AG54" s="7"/>
    </row>
    <row r="55" spans="1:33" ht="10.5" customHeight="1">
      <c r="A55" s="187" t="s">
        <v>54</v>
      </c>
      <c r="B55" s="5" t="s">
        <v>65</v>
      </c>
      <c r="C55" s="5" t="s">
        <v>9</v>
      </c>
      <c r="D55" s="1078" t="str">
        <f>D21</f>
        <v>Бут. с сыром и масл. сл.</v>
      </c>
      <c r="E55" s="1038" t="str">
        <f>E21</f>
        <v>10./5./ 20</v>
      </c>
      <c r="F55" s="1035" t="str">
        <f>F21</f>
        <v>Каша геркул. с масл. сл.</v>
      </c>
      <c r="G55" s="1038"/>
      <c r="H55" s="1041" t="str">
        <f>H21</f>
        <v>Чай с молоком</v>
      </c>
      <c r="I55" s="1044"/>
      <c r="J55" s="1044">
        <f t="shared" ref="J55:P55" si="0">J21</f>
        <v>0</v>
      </c>
      <c r="K55" s="1038" t="str">
        <f t="shared" si="0"/>
        <v>Батон порц.</v>
      </c>
      <c r="L55" s="1038" t="str">
        <f>L23</f>
        <v>Фрукты порц.</v>
      </c>
      <c r="M55" s="1044" t="str">
        <f t="shared" si="0"/>
        <v>Винегрет</v>
      </c>
      <c r="N55" s="1044" t="str">
        <f t="shared" si="0"/>
        <v>Суп-лапша дом.</v>
      </c>
      <c r="O55" s="1044" t="str">
        <f t="shared" si="0"/>
        <v xml:space="preserve">Плов </v>
      </c>
      <c r="P55" s="1041" t="str">
        <f t="shared" si="0"/>
        <v>Мясо цыпл. бр.  в плов</v>
      </c>
      <c r="Q55" s="1096"/>
      <c r="R55" s="1041" t="str">
        <f t="shared" ref="R55:Y55" si="1">R21</f>
        <v>Компот из св. яблок</v>
      </c>
      <c r="S55" s="1041" t="str">
        <f t="shared" si="1"/>
        <v>Хлеб ржано-пшеничный</v>
      </c>
      <c r="T55" s="1041">
        <f t="shared" si="1"/>
        <v>0</v>
      </c>
      <c r="U55" s="1078" t="str">
        <f t="shared" si="1"/>
        <v>Пудинг из творога</v>
      </c>
      <c r="V55" s="1123">
        <f t="shared" si="1"/>
        <v>0</v>
      </c>
      <c r="W55" s="1044" t="str">
        <f t="shared" si="1"/>
        <v>с соусом смолочным</v>
      </c>
      <c r="X55" s="1044" t="str">
        <f t="shared" si="1"/>
        <v>Кисель из конц.</v>
      </c>
      <c r="Y55" s="1038" t="str">
        <f t="shared" si="1"/>
        <v>Хлеб йодирован. пшен.</v>
      </c>
      <c r="Z55" s="24"/>
      <c r="AA55" s="23"/>
      <c r="AB55" s="7"/>
      <c r="AC55" s="228"/>
      <c r="AD55" s="7"/>
      <c r="AE55" s="7"/>
      <c r="AF55" s="7"/>
      <c r="AG55" s="7"/>
    </row>
    <row r="56" spans="1:33" ht="10.5" customHeight="1">
      <c r="A56" s="187"/>
      <c r="B56" s="5"/>
      <c r="C56" s="5" t="s">
        <v>10</v>
      </c>
      <c r="D56" s="1079"/>
      <c r="E56" s="1039"/>
      <c r="F56" s="1036"/>
      <c r="G56" s="1039"/>
      <c r="H56" s="1042"/>
      <c r="I56" s="1045"/>
      <c r="J56" s="1045"/>
      <c r="K56" s="1039"/>
      <c r="L56" s="1039"/>
      <c r="M56" s="1045"/>
      <c r="N56" s="1045"/>
      <c r="O56" s="1045"/>
      <c r="P56" s="1042"/>
      <c r="Q56" s="1098"/>
      <c r="R56" s="1042"/>
      <c r="S56" s="1042"/>
      <c r="T56" s="1042"/>
      <c r="U56" s="1262"/>
      <c r="V56" s="1124"/>
      <c r="W56" s="1194"/>
      <c r="X56" s="1045"/>
      <c r="Y56" s="1039"/>
      <c r="Z56" s="19" t="s">
        <v>6</v>
      </c>
      <c r="AA56" s="186" t="s">
        <v>4</v>
      </c>
      <c r="AB56" s="7"/>
      <c r="AC56" s="228"/>
      <c r="AD56" s="7"/>
      <c r="AE56" s="7"/>
      <c r="AF56" s="7"/>
      <c r="AG56" s="7"/>
    </row>
    <row r="57" spans="1:33" ht="10.5" customHeight="1">
      <c r="A57" s="193"/>
      <c r="B57" s="4"/>
      <c r="C57" s="4"/>
      <c r="D57" s="1080"/>
      <c r="E57" s="1040"/>
      <c r="F57" s="1037"/>
      <c r="G57" s="1040"/>
      <c r="H57" s="1043"/>
      <c r="I57" s="1046"/>
      <c r="J57" s="1046"/>
      <c r="K57" s="1040"/>
      <c r="L57" s="1040"/>
      <c r="M57" s="1046"/>
      <c r="N57" s="1046"/>
      <c r="O57" s="1046"/>
      <c r="P57" s="1043"/>
      <c r="Q57" s="1100"/>
      <c r="R57" s="1043"/>
      <c r="S57" s="1043"/>
      <c r="T57" s="1043"/>
      <c r="U57" s="1263"/>
      <c r="V57" s="1125"/>
      <c r="W57" s="1195"/>
      <c r="X57" s="1046"/>
      <c r="Y57" s="1040"/>
      <c r="Z57" s="4" t="s">
        <v>7</v>
      </c>
      <c r="AA57" s="192" t="s">
        <v>5</v>
      </c>
      <c r="AB57" s="7"/>
      <c r="AC57" s="228"/>
      <c r="AD57" s="7"/>
      <c r="AE57" s="7"/>
      <c r="AF57" s="7"/>
      <c r="AG57" s="7"/>
    </row>
    <row r="58" spans="1:33" ht="11.25" customHeight="1" thickBot="1">
      <c r="A58" s="64">
        <v>1</v>
      </c>
      <c r="B58" s="947">
        <v>2</v>
      </c>
      <c r="C58" s="72">
        <v>3</v>
      </c>
      <c r="D58" s="86">
        <v>4</v>
      </c>
      <c r="E58" s="80">
        <v>5</v>
      </c>
      <c r="F58" s="86">
        <v>6</v>
      </c>
      <c r="G58" s="943">
        <v>7</v>
      </c>
      <c r="H58" s="87">
        <v>8</v>
      </c>
      <c r="I58" s="80">
        <v>9</v>
      </c>
      <c r="J58" s="81">
        <v>10</v>
      </c>
      <c r="K58" s="96">
        <v>11</v>
      </c>
      <c r="L58" s="96">
        <v>12</v>
      </c>
      <c r="M58" s="81">
        <v>13</v>
      </c>
      <c r="N58" s="81">
        <v>14</v>
      </c>
      <c r="O58" s="81">
        <v>15</v>
      </c>
      <c r="P58" s="948">
        <v>16</v>
      </c>
      <c r="Q58" s="680">
        <v>17</v>
      </c>
      <c r="R58" s="96">
        <v>18</v>
      </c>
      <c r="S58" s="98">
        <v>19</v>
      </c>
      <c r="T58" s="98">
        <v>20</v>
      </c>
      <c r="U58" s="82">
        <v>21</v>
      </c>
      <c r="V58" s="96">
        <v>22</v>
      </c>
      <c r="W58" s="96">
        <v>23</v>
      </c>
      <c r="X58" s="81">
        <v>24</v>
      </c>
      <c r="Y58" s="96">
        <v>25</v>
      </c>
      <c r="Z58" s="35">
        <v>26</v>
      </c>
      <c r="AA58" s="942">
        <v>27</v>
      </c>
      <c r="AB58" s="7"/>
      <c r="AC58" s="228"/>
      <c r="AD58" s="7"/>
      <c r="AE58" s="7"/>
      <c r="AF58" s="7"/>
      <c r="AG58" s="7"/>
    </row>
    <row r="59" spans="1:33" ht="15" customHeight="1" thickTop="1">
      <c r="A59" s="135"/>
      <c r="B59" s="13"/>
      <c r="C59" s="77" t="s">
        <v>72</v>
      </c>
      <c r="D59" s="491"/>
      <c r="E59" s="277"/>
      <c r="F59" s="109"/>
      <c r="G59" s="94"/>
      <c r="H59" s="109"/>
      <c r="I59" s="94"/>
      <c r="J59" s="667"/>
      <c r="K59" s="277"/>
      <c r="L59" s="94"/>
      <c r="M59" s="127">
        <v>20</v>
      </c>
      <c r="N59" s="130"/>
      <c r="O59" s="579"/>
      <c r="P59" s="572"/>
      <c r="Q59" s="571"/>
      <c r="R59" s="94"/>
      <c r="S59" s="94"/>
      <c r="T59" s="625"/>
      <c r="U59" s="428"/>
      <c r="V59" s="129"/>
      <c r="W59" s="277"/>
      <c r="X59" s="94"/>
      <c r="Y59" s="94"/>
      <c r="Z59" s="117"/>
      <c r="AA59" s="116"/>
      <c r="AB59" s="7"/>
      <c r="AC59" s="228"/>
      <c r="AD59" s="7"/>
      <c r="AE59" s="7"/>
      <c r="AF59" s="7"/>
    </row>
    <row r="60" spans="1:33" ht="18" customHeight="1" thickBot="1">
      <c r="A60" s="346" t="s">
        <v>26</v>
      </c>
      <c r="B60" s="347">
        <v>28</v>
      </c>
      <c r="C60" s="348" t="s">
        <v>73</v>
      </c>
      <c r="D60" s="385"/>
      <c r="E60" s="353"/>
      <c r="F60" s="338"/>
      <c r="G60" s="337"/>
      <c r="H60" s="338"/>
      <c r="I60" s="337"/>
      <c r="J60" s="668"/>
      <c r="K60" s="353"/>
      <c r="L60" s="337"/>
      <c r="M60" s="339">
        <f>M59*B25/1000</f>
        <v>2</v>
      </c>
      <c r="N60" s="340"/>
      <c r="O60" s="420"/>
      <c r="P60" s="573"/>
      <c r="Q60" s="350"/>
      <c r="R60" s="337"/>
      <c r="S60" s="337"/>
      <c r="T60" s="614"/>
      <c r="U60" s="364"/>
      <c r="V60" s="341"/>
      <c r="W60" s="353"/>
      <c r="X60" s="337"/>
      <c r="Y60" s="337"/>
      <c r="Z60" s="343">
        <f>ROUND(E60+G60+I60+K60+L60+M60+N60+O60+Q60+R60+S60+V60+W60+X60+Y60,2)</f>
        <v>2</v>
      </c>
      <c r="AA60" s="344">
        <f>Z60*B60</f>
        <v>56</v>
      </c>
      <c r="AB60" s="7"/>
      <c r="AC60" s="223">
        <f>Z60+Z157</f>
        <v>3.2</v>
      </c>
      <c r="AD60" s="7" t="str">
        <f>A60</f>
        <v>Картофель</v>
      </c>
      <c r="AE60" s="7"/>
      <c r="AF60" s="7"/>
    </row>
    <row r="61" spans="1:33" ht="14.25" customHeight="1" thickTop="1">
      <c r="A61" s="133"/>
      <c r="B61" s="122"/>
      <c r="C61" s="77" t="s">
        <v>72</v>
      </c>
      <c r="D61" s="305"/>
      <c r="E61" s="268"/>
      <c r="F61" s="112"/>
      <c r="G61" s="106"/>
      <c r="H61" s="112"/>
      <c r="I61" s="106"/>
      <c r="J61" s="669"/>
      <c r="K61" s="272"/>
      <c r="L61" s="409"/>
      <c r="M61" s="127">
        <v>7.7</v>
      </c>
      <c r="N61" s="250"/>
      <c r="O61" s="580"/>
      <c r="P61" s="316"/>
      <c r="Q61" s="464"/>
      <c r="R61" s="106"/>
      <c r="S61" s="106"/>
      <c r="T61" s="455"/>
      <c r="U61" s="274"/>
      <c r="V61" s="268"/>
      <c r="W61" s="268"/>
      <c r="X61" s="106"/>
      <c r="Y61" s="106"/>
      <c r="Z61" s="213"/>
      <c r="AA61" s="123"/>
      <c r="AB61" s="7"/>
      <c r="AC61" s="224"/>
      <c r="AD61" s="7"/>
      <c r="AE61" s="7"/>
      <c r="AF61" s="7"/>
    </row>
    <row r="62" spans="1:33" ht="18" customHeight="1" thickBot="1">
      <c r="A62" s="346" t="s">
        <v>205</v>
      </c>
      <c r="B62" s="347">
        <v>190</v>
      </c>
      <c r="C62" s="348" t="s">
        <v>73</v>
      </c>
      <c r="D62" s="385"/>
      <c r="E62" s="353"/>
      <c r="F62" s="338"/>
      <c r="G62" s="337"/>
      <c r="H62" s="338"/>
      <c r="I62" s="337"/>
      <c r="J62" s="668"/>
      <c r="K62" s="354"/>
      <c r="L62" s="342"/>
      <c r="M62" s="339">
        <f>M61*B25/1000</f>
        <v>0.77</v>
      </c>
      <c r="N62" s="340"/>
      <c r="O62" s="420"/>
      <c r="P62" s="574"/>
      <c r="Q62" s="369"/>
      <c r="R62" s="337"/>
      <c r="S62" s="337"/>
      <c r="T62" s="614"/>
      <c r="U62" s="361"/>
      <c r="V62" s="353"/>
      <c r="W62" s="353"/>
      <c r="X62" s="337"/>
      <c r="Y62" s="337"/>
      <c r="Z62" s="343">
        <f>ROUND(E62+G62+I62+K62+L62+M62+N62+O62+Q62+R62+S62+V62+W62+X62+Y62,2)</f>
        <v>0.77</v>
      </c>
      <c r="AA62" s="344">
        <f>Z62*B62</f>
        <v>146.30000000000001</v>
      </c>
      <c r="AB62" s="7"/>
      <c r="AC62" s="223">
        <f>Z62+Z159</f>
        <v>1.79</v>
      </c>
      <c r="AD62" s="7" t="str">
        <f>A62</f>
        <v>Горошек консерв.</v>
      </c>
      <c r="AE62" s="7"/>
      <c r="AF62" s="7"/>
    </row>
    <row r="63" spans="1:33" ht="15" customHeight="1" thickTop="1">
      <c r="A63" s="133"/>
      <c r="B63" s="122"/>
      <c r="C63" s="77" t="s">
        <v>72</v>
      </c>
      <c r="D63" s="287"/>
      <c r="E63" s="268"/>
      <c r="F63" s="112"/>
      <c r="G63" s="106"/>
      <c r="H63" s="112"/>
      <c r="I63" s="106"/>
      <c r="J63" s="669"/>
      <c r="K63" s="268"/>
      <c r="L63" s="106"/>
      <c r="M63" s="127">
        <v>9</v>
      </c>
      <c r="N63" s="250">
        <v>9.6</v>
      </c>
      <c r="O63" s="131">
        <v>8</v>
      </c>
      <c r="P63" s="177"/>
      <c r="Q63" s="129"/>
      <c r="R63" s="127"/>
      <c r="S63" s="127"/>
      <c r="T63" s="637"/>
      <c r="U63" s="428"/>
      <c r="V63" s="129"/>
      <c r="W63" s="268"/>
      <c r="X63" s="106"/>
      <c r="Y63" s="106"/>
      <c r="Z63" s="214"/>
      <c r="AA63" s="124"/>
      <c r="AB63" s="7"/>
      <c r="AC63" s="224"/>
      <c r="AD63" s="7"/>
      <c r="AE63" s="7"/>
      <c r="AF63" s="7"/>
      <c r="AG63" s="7"/>
    </row>
    <row r="64" spans="1:33" ht="18" customHeight="1" thickBot="1">
      <c r="A64" s="346" t="s">
        <v>27</v>
      </c>
      <c r="B64" s="347">
        <v>37</v>
      </c>
      <c r="C64" s="348" t="s">
        <v>73</v>
      </c>
      <c r="D64" s="385"/>
      <c r="E64" s="353"/>
      <c r="F64" s="338"/>
      <c r="G64" s="381"/>
      <c r="H64" s="338"/>
      <c r="I64" s="337"/>
      <c r="J64" s="668"/>
      <c r="K64" s="353"/>
      <c r="L64" s="337"/>
      <c r="M64" s="339">
        <f>M63*B25/1000</f>
        <v>0.9</v>
      </c>
      <c r="N64" s="339">
        <f>N63*B25/1000</f>
        <v>0.96</v>
      </c>
      <c r="O64" s="341">
        <f>O63*B25/1000</f>
        <v>0.8</v>
      </c>
      <c r="P64" s="349"/>
      <c r="Q64" s="422"/>
      <c r="R64" s="337"/>
      <c r="S64" s="337"/>
      <c r="T64" s="614"/>
      <c r="U64" s="364"/>
      <c r="V64" s="341"/>
      <c r="W64" s="353"/>
      <c r="X64" s="337"/>
      <c r="Y64" s="337"/>
      <c r="Z64" s="343">
        <f>ROUND(E64+G64+I64+K64+L64+M64+N64+O64+Q64+R64+S64+V64+W64+X64+Y64,2)</f>
        <v>2.66</v>
      </c>
      <c r="AA64" s="368">
        <f>Z64*B64</f>
        <v>98.42</v>
      </c>
      <c r="AB64" s="7"/>
      <c r="AC64" s="223">
        <f>Z64+Z161</f>
        <v>4.8600000000000003</v>
      </c>
      <c r="AD64" s="7" t="str">
        <f>A64</f>
        <v>Лук</v>
      </c>
      <c r="AE64" s="7"/>
      <c r="AF64" s="7"/>
      <c r="AG64" s="7"/>
    </row>
    <row r="65" spans="1:33" ht="15.75" customHeight="1" thickTop="1">
      <c r="A65" s="133"/>
      <c r="B65" s="122"/>
      <c r="C65" s="77" t="s">
        <v>72</v>
      </c>
      <c r="D65" s="287"/>
      <c r="E65" s="268"/>
      <c r="F65" s="112"/>
      <c r="G65" s="106"/>
      <c r="H65" s="112"/>
      <c r="I65" s="106"/>
      <c r="J65" s="669"/>
      <c r="K65" s="268" t="s">
        <v>95</v>
      </c>
      <c r="L65" s="106"/>
      <c r="M65" s="127">
        <v>10</v>
      </c>
      <c r="N65" s="127"/>
      <c r="O65" s="131">
        <v>17</v>
      </c>
      <c r="P65" s="101"/>
      <c r="Q65" s="129"/>
      <c r="R65" s="127"/>
      <c r="S65" s="127"/>
      <c r="T65" s="637"/>
      <c r="U65" s="405"/>
      <c r="V65" s="268"/>
      <c r="W65" s="268"/>
      <c r="X65" s="106"/>
      <c r="Y65" s="106"/>
      <c r="Z65" s="214"/>
      <c r="AA65" s="123"/>
      <c r="AB65" s="7"/>
      <c r="AC65" s="224"/>
      <c r="AD65" s="7"/>
      <c r="AE65" s="7"/>
      <c r="AF65" s="7"/>
      <c r="AG65" s="7"/>
    </row>
    <row r="66" spans="1:33" ht="18" customHeight="1" thickBot="1">
      <c r="A66" s="346" t="s">
        <v>28</v>
      </c>
      <c r="B66" s="347">
        <v>38</v>
      </c>
      <c r="C66" s="348" t="s">
        <v>73</v>
      </c>
      <c r="D66" s="385"/>
      <c r="E66" s="353"/>
      <c r="F66" s="338"/>
      <c r="G66" s="337"/>
      <c r="H66" s="338"/>
      <c r="I66" s="337"/>
      <c r="J66" s="668"/>
      <c r="K66" s="353"/>
      <c r="L66" s="337"/>
      <c r="M66" s="339">
        <f>M65*B25/1000</f>
        <v>1</v>
      </c>
      <c r="N66" s="340"/>
      <c r="O66" s="341">
        <f>O65*B25/1000</f>
        <v>1.7</v>
      </c>
      <c r="P66" s="574"/>
      <c r="Q66" s="350"/>
      <c r="R66" s="337"/>
      <c r="S66" s="337"/>
      <c r="T66" s="614"/>
      <c r="U66" s="360"/>
      <c r="V66" s="353"/>
      <c r="W66" s="353"/>
      <c r="X66" s="337"/>
      <c r="Y66" s="337"/>
      <c r="Z66" s="343">
        <f>ROUND(E66+G66+I66+K66+L66+M66+N66+O66+Q66+R66+S66+V66+W66+X66+Y66,2)</f>
        <v>2.7</v>
      </c>
      <c r="AA66" s="344">
        <f>Z66*B66</f>
        <v>102.60000000000001</v>
      </c>
      <c r="AB66" s="7"/>
      <c r="AC66" s="223">
        <f>Z66+Z163</f>
        <v>5</v>
      </c>
      <c r="AD66" s="7" t="str">
        <f>A66</f>
        <v>Морковь</v>
      </c>
      <c r="AE66" s="7"/>
      <c r="AF66" s="7"/>
      <c r="AG66" s="7"/>
    </row>
    <row r="67" spans="1:33" ht="14.25" customHeight="1" thickTop="1">
      <c r="A67" s="133"/>
      <c r="B67" s="122"/>
      <c r="C67" s="77" t="s">
        <v>72</v>
      </c>
      <c r="D67" s="287"/>
      <c r="E67" s="268"/>
      <c r="F67" s="177"/>
      <c r="G67" s="114"/>
      <c r="H67" s="112"/>
      <c r="I67" s="106"/>
      <c r="J67" s="669"/>
      <c r="K67" s="268"/>
      <c r="L67" s="106"/>
      <c r="M67" s="127">
        <v>13.6</v>
      </c>
      <c r="N67" s="106"/>
      <c r="O67" s="460"/>
      <c r="P67" s="316"/>
      <c r="Q67" s="464"/>
      <c r="R67" s="106"/>
      <c r="S67" s="106"/>
      <c r="T67" s="455"/>
      <c r="U67" s="270"/>
      <c r="V67" s="268"/>
      <c r="W67" s="268"/>
      <c r="X67" s="106"/>
      <c r="Y67" s="106"/>
      <c r="Z67" s="214"/>
      <c r="AA67" s="123"/>
      <c r="AB67" s="7"/>
      <c r="AC67" s="224"/>
      <c r="AD67" s="7"/>
      <c r="AE67" s="7"/>
      <c r="AF67" s="7"/>
      <c r="AG67" s="7"/>
    </row>
    <row r="68" spans="1:33" ht="18" customHeight="1" thickBot="1">
      <c r="A68" s="346" t="s">
        <v>87</v>
      </c>
      <c r="B68" s="347">
        <v>28</v>
      </c>
      <c r="C68" s="348" t="s">
        <v>73</v>
      </c>
      <c r="D68" s="385"/>
      <c r="E68" s="353"/>
      <c r="F68" s="349"/>
      <c r="G68" s="340"/>
      <c r="H68" s="338"/>
      <c r="I68" s="337"/>
      <c r="J68" s="668"/>
      <c r="K68" s="353"/>
      <c r="L68" s="337"/>
      <c r="M68" s="339">
        <f>M67*B25/1000</f>
        <v>1.36</v>
      </c>
      <c r="N68" s="340"/>
      <c r="O68" s="420"/>
      <c r="P68" s="574"/>
      <c r="Q68" s="369"/>
      <c r="R68" s="337"/>
      <c r="S68" s="337"/>
      <c r="T68" s="614"/>
      <c r="U68" s="352"/>
      <c r="V68" s="353"/>
      <c r="W68" s="353"/>
      <c r="X68" s="337"/>
      <c r="Y68" s="337"/>
      <c r="Z68" s="343">
        <f>ROUND(E68+G68+I68+K68+L68+M68+N68+O68+Q68+R68+S68+V68+W68+X68+Y68,2)</f>
        <v>1.36</v>
      </c>
      <c r="AA68" s="344">
        <f>Z68*B68</f>
        <v>38.080000000000005</v>
      </c>
      <c r="AB68" s="7"/>
      <c r="AC68" s="223">
        <f>Z68+Z165</f>
        <v>2.1800000000000002</v>
      </c>
      <c r="AD68" s="7" t="str">
        <f>A68</f>
        <v>Свекла стол.</v>
      </c>
      <c r="AE68" s="7"/>
      <c r="AF68" s="7"/>
      <c r="AG68" s="7"/>
    </row>
    <row r="69" spans="1:33" ht="15" customHeight="1" thickTop="1">
      <c r="A69" s="133"/>
      <c r="B69" s="122"/>
      <c r="C69" s="77" t="s">
        <v>72</v>
      </c>
      <c r="D69" s="489">
        <v>20</v>
      </c>
      <c r="E69" s="272">
        <f>D69/D26*E26</f>
        <v>20</v>
      </c>
      <c r="F69" s="112"/>
      <c r="G69" s="106"/>
      <c r="H69" s="112"/>
      <c r="I69" s="106"/>
      <c r="J69" s="669"/>
      <c r="K69" s="272">
        <f>K70/B25*1000</f>
        <v>20</v>
      </c>
      <c r="L69" s="127"/>
      <c r="M69" s="106"/>
      <c r="N69" s="106"/>
      <c r="O69" s="566"/>
      <c r="P69" s="439"/>
      <c r="Q69" s="129"/>
      <c r="R69" s="106"/>
      <c r="S69" s="106"/>
      <c r="T69" s="455"/>
      <c r="U69" s="270"/>
      <c r="V69" s="268"/>
      <c r="W69" s="268"/>
      <c r="X69" s="106"/>
      <c r="Y69" s="127"/>
      <c r="Z69" s="214"/>
      <c r="AA69" s="123"/>
      <c r="AB69" s="7"/>
      <c r="AC69" s="224"/>
      <c r="AD69" s="7"/>
      <c r="AE69" s="7"/>
      <c r="AF69" s="7"/>
      <c r="AG69" s="7"/>
    </row>
    <row r="70" spans="1:33" ht="18" customHeight="1" thickBot="1">
      <c r="A70" s="346" t="s">
        <v>62</v>
      </c>
      <c r="B70" s="347">
        <v>81.099999999999994</v>
      </c>
      <c r="C70" s="348" t="s">
        <v>73</v>
      </c>
      <c r="D70" s="490">
        <f>D69*F25/1000</f>
        <v>2</v>
      </c>
      <c r="E70" s="341">
        <f>D70</f>
        <v>2</v>
      </c>
      <c r="F70" s="338"/>
      <c r="G70" s="337"/>
      <c r="H70" s="338"/>
      <c r="I70" s="337"/>
      <c r="J70" s="668"/>
      <c r="K70" s="341">
        <v>2</v>
      </c>
      <c r="L70" s="339"/>
      <c r="M70" s="381"/>
      <c r="N70" s="337"/>
      <c r="O70" s="569"/>
      <c r="P70" s="584"/>
      <c r="Q70" s="369"/>
      <c r="R70" s="337"/>
      <c r="S70" s="337"/>
      <c r="T70" s="614"/>
      <c r="U70" s="352"/>
      <c r="V70" s="353"/>
      <c r="W70" s="353"/>
      <c r="X70" s="337"/>
      <c r="Y70" s="342"/>
      <c r="Z70" s="343">
        <f>ROUND(E70+G70+I70+K70+L70+M70+N70+O70+Q70+R70+S70+V70+W70+X70+Y70,2)</f>
        <v>4</v>
      </c>
      <c r="AA70" s="344">
        <f>Z70*B70</f>
        <v>324.39999999999998</v>
      </c>
      <c r="AB70" s="7"/>
      <c r="AC70" s="223">
        <f>Z70+Z167</f>
        <v>7</v>
      </c>
      <c r="AD70" s="7" t="str">
        <f>A70</f>
        <v>Батон витам.</v>
      </c>
      <c r="AE70" s="7"/>
      <c r="AF70" s="7"/>
      <c r="AG70" s="7"/>
    </row>
    <row r="71" spans="1:33" ht="15" customHeight="1" thickTop="1">
      <c r="A71" s="133"/>
      <c r="B71" s="122"/>
      <c r="C71" s="77" t="s">
        <v>72</v>
      </c>
      <c r="D71" s="287"/>
      <c r="E71" s="268"/>
      <c r="F71" s="112"/>
      <c r="G71" s="106"/>
      <c r="H71" s="112"/>
      <c r="I71" s="106"/>
      <c r="J71" s="669"/>
      <c r="K71" s="268"/>
      <c r="L71" s="106"/>
      <c r="M71" s="106"/>
      <c r="N71" s="106"/>
      <c r="O71" s="460"/>
      <c r="P71" s="316"/>
      <c r="Q71" s="464"/>
      <c r="R71" s="106"/>
      <c r="S71" s="128">
        <f>S72/S25*1000</f>
        <v>40</v>
      </c>
      <c r="T71" s="638"/>
      <c r="U71" s="270"/>
      <c r="V71" s="268"/>
      <c r="W71" s="268"/>
      <c r="X71" s="106"/>
      <c r="Y71" s="106"/>
      <c r="Z71" s="214"/>
      <c r="AA71" s="123"/>
      <c r="AB71" s="7"/>
      <c r="AC71" s="224"/>
      <c r="AD71" s="7"/>
      <c r="AE71" s="7"/>
      <c r="AF71" s="7"/>
      <c r="AG71" s="7"/>
    </row>
    <row r="72" spans="1:33" ht="18" customHeight="1" thickBot="1">
      <c r="A72" s="346" t="s">
        <v>82</v>
      </c>
      <c r="B72" s="347">
        <v>55</v>
      </c>
      <c r="C72" s="348" t="s">
        <v>73</v>
      </c>
      <c r="D72" s="385"/>
      <c r="E72" s="353"/>
      <c r="F72" s="338"/>
      <c r="G72" s="337"/>
      <c r="H72" s="338"/>
      <c r="I72" s="337"/>
      <c r="J72" s="668"/>
      <c r="K72" s="353"/>
      <c r="L72" s="337"/>
      <c r="M72" s="337"/>
      <c r="N72" s="337"/>
      <c r="O72" s="459"/>
      <c r="P72" s="574"/>
      <c r="Q72" s="369"/>
      <c r="R72" s="337"/>
      <c r="S72" s="342">
        <v>4</v>
      </c>
      <c r="T72" s="639"/>
      <c r="U72" s="352"/>
      <c r="V72" s="353"/>
      <c r="W72" s="353"/>
      <c r="X72" s="337"/>
      <c r="Y72" s="337"/>
      <c r="Z72" s="343">
        <f>ROUND(E72+G72+I72+K72+L72+M72+N72+O72+Q72+R72+S72+V72+W72+X72+Y72,2)</f>
        <v>4</v>
      </c>
      <c r="AA72" s="344">
        <f>Z72*B72</f>
        <v>220</v>
      </c>
      <c r="AB72" s="7"/>
      <c r="AC72" s="226">
        <f>Z72+Z169</f>
        <v>7</v>
      </c>
      <c r="AD72" s="7" t="str">
        <f>A72</f>
        <v>Хлеб рж-пшен.</v>
      </c>
      <c r="AE72" s="7"/>
      <c r="AF72" s="7"/>
      <c r="AG72" s="7"/>
    </row>
    <row r="73" spans="1:33" ht="15" customHeight="1" thickTop="1">
      <c r="A73" s="133"/>
      <c r="B73" s="122"/>
      <c r="C73" s="77" t="s">
        <v>72</v>
      </c>
      <c r="D73" s="305"/>
      <c r="E73" s="413"/>
      <c r="F73" s="112"/>
      <c r="G73" s="106"/>
      <c r="H73" s="112"/>
      <c r="I73" s="106"/>
      <c r="J73" s="669"/>
      <c r="K73" s="268"/>
      <c r="L73" s="106"/>
      <c r="M73" s="106"/>
      <c r="N73" s="106"/>
      <c r="O73" s="581"/>
      <c r="P73" s="316"/>
      <c r="Q73" s="464"/>
      <c r="R73" s="106"/>
      <c r="S73" s="106"/>
      <c r="T73" s="455"/>
      <c r="U73" s="270"/>
      <c r="V73" s="268"/>
      <c r="W73" s="268"/>
      <c r="X73" s="106"/>
      <c r="Y73" s="128">
        <f>Y74/Y25*1000</f>
        <v>20</v>
      </c>
      <c r="Z73" s="214"/>
      <c r="AA73" s="123"/>
      <c r="AB73" s="7"/>
      <c r="AC73" s="228"/>
      <c r="AD73" s="7"/>
      <c r="AE73" s="7"/>
      <c r="AF73" s="7"/>
      <c r="AG73" s="7"/>
    </row>
    <row r="74" spans="1:33" ht="18" customHeight="1" thickBot="1">
      <c r="A74" s="346" t="s">
        <v>84</v>
      </c>
      <c r="B74" s="347">
        <v>61.3</v>
      </c>
      <c r="C74" s="348" t="s">
        <v>73</v>
      </c>
      <c r="D74" s="385"/>
      <c r="E74" s="353"/>
      <c r="F74" s="338"/>
      <c r="G74" s="337"/>
      <c r="H74" s="338"/>
      <c r="I74" s="337"/>
      <c r="J74" s="668"/>
      <c r="K74" s="353"/>
      <c r="L74" s="337"/>
      <c r="M74" s="337"/>
      <c r="N74" s="337"/>
      <c r="O74" s="459"/>
      <c r="P74" s="574"/>
      <c r="Q74" s="369"/>
      <c r="R74" s="337"/>
      <c r="S74" s="337"/>
      <c r="T74" s="614"/>
      <c r="U74" s="352"/>
      <c r="V74" s="353"/>
      <c r="W74" s="353"/>
      <c r="X74" s="337"/>
      <c r="Y74" s="342">
        <v>2</v>
      </c>
      <c r="Z74" s="343">
        <f>ROUND(E74+G74+I74+K74+L74+M74+N74+O74+Q74+R74+S74+V74+W74+X74+Y74,2)</f>
        <v>2</v>
      </c>
      <c r="AA74" s="344">
        <f>Z74*B74</f>
        <v>122.6</v>
      </c>
      <c r="AB74" s="7"/>
      <c r="AC74" s="223">
        <f>Z74+Z171</f>
        <v>3</v>
      </c>
      <c r="AD74" s="7" t="str">
        <f>A74</f>
        <v xml:space="preserve">Хлеб  йод. пш. </v>
      </c>
      <c r="AE74" s="7"/>
      <c r="AF74" s="7"/>
      <c r="AG74" s="7"/>
    </row>
    <row r="75" spans="1:33" ht="15" customHeight="1" thickTop="1">
      <c r="A75" s="133"/>
      <c r="B75" s="122"/>
      <c r="C75" s="77" t="s">
        <v>72</v>
      </c>
      <c r="D75" s="287"/>
      <c r="E75" s="268"/>
      <c r="F75" s="177"/>
      <c r="G75" s="114"/>
      <c r="H75" s="112"/>
      <c r="I75" s="106"/>
      <c r="J75" s="403"/>
      <c r="K75" s="268"/>
      <c r="L75" s="106"/>
      <c r="M75" s="127">
        <v>11.4</v>
      </c>
      <c r="N75" s="106"/>
      <c r="O75" s="460"/>
      <c r="P75" s="316"/>
      <c r="Q75" s="113"/>
      <c r="R75" s="106"/>
      <c r="S75" s="106"/>
      <c r="T75" s="455"/>
      <c r="U75" s="270"/>
      <c r="V75" s="268"/>
      <c r="W75" s="268"/>
      <c r="X75" s="127"/>
      <c r="Y75" s="106"/>
      <c r="Z75" s="214"/>
      <c r="AA75" s="123"/>
      <c r="AB75" s="7"/>
      <c r="AC75" s="224"/>
      <c r="AD75" s="7"/>
      <c r="AE75" s="7"/>
      <c r="AF75" s="7"/>
      <c r="AG75" s="7"/>
    </row>
    <row r="76" spans="1:33" ht="18" customHeight="1" thickBot="1">
      <c r="A76" s="346" t="s">
        <v>279</v>
      </c>
      <c r="B76" s="347">
        <v>85</v>
      </c>
      <c r="C76" s="348" t="s">
        <v>73</v>
      </c>
      <c r="D76" s="385"/>
      <c r="E76" s="353"/>
      <c r="F76" s="349"/>
      <c r="G76" s="340"/>
      <c r="H76" s="338"/>
      <c r="I76" s="337"/>
      <c r="J76" s="372"/>
      <c r="K76" s="353"/>
      <c r="L76" s="337"/>
      <c r="M76" s="339">
        <f>M75*B25/1000</f>
        <v>1.1399999999999999</v>
      </c>
      <c r="N76" s="337"/>
      <c r="O76" s="459"/>
      <c r="P76" s="574"/>
      <c r="Q76" s="350"/>
      <c r="R76" s="337"/>
      <c r="S76" s="337"/>
      <c r="T76" s="614"/>
      <c r="U76" s="352"/>
      <c r="V76" s="353"/>
      <c r="W76" s="353"/>
      <c r="X76" s="358"/>
      <c r="Y76" s="337"/>
      <c r="Z76" s="343">
        <f>ROUND(E76+G76+I76+J76+K76+L76+M76+N76+O76+Q76+R76+S76+V76+W76+X76+Y76,2)</f>
        <v>1.1399999999999999</v>
      </c>
      <c r="AA76" s="344">
        <f>Z76*B76</f>
        <v>96.899999999999991</v>
      </c>
      <c r="AB76" s="7"/>
      <c r="AC76" s="223">
        <f>Z76+Z173</f>
        <v>1.1399999999999999</v>
      </c>
      <c r="AD76" s="7" t="str">
        <f>A76</f>
        <v>Огурцы конс.</v>
      </c>
      <c r="AE76" s="7"/>
      <c r="AF76" s="7"/>
      <c r="AG76" s="7"/>
    </row>
    <row r="77" spans="1:33" ht="15.75" customHeight="1" thickTop="1">
      <c r="A77" s="133"/>
      <c r="B77" s="122"/>
      <c r="C77" s="77" t="s">
        <v>72</v>
      </c>
      <c r="D77" s="108">
        <v>10.6</v>
      </c>
      <c r="E77" s="129">
        <f>D77/D26*E26</f>
        <v>10.6</v>
      </c>
      <c r="F77" s="112"/>
      <c r="G77" s="106"/>
      <c r="H77" s="112"/>
      <c r="I77" s="128"/>
      <c r="J77" s="669"/>
      <c r="K77" s="268"/>
      <c r="L77" s="106"/>
      <c r="M77" s="106"/>
      <c r="N77" s="106"/>
      <c r="O77" s="460"/>
      <c r="P77" s="577"/>
      <c r="Q77" s="464"/>
      <c r="R77" s="106"/>
      <c r="S77" s="106"/>
      <c r="T77" s="455"/>
      <c r="U77" s="270"/>
      <c r="V77" s="268"/>
      <c r="W77" s="268"/>
      <c r="X77" s="127"/>
      <c r="Y77" s="106"/>
      <c r="Z77" s="213"/>
      <c r="AA77" s="123"/>
      <c r="AB77" s="7"/>
      <c r="AC77" s="224"/>
      <c r="AD77" s="7"/>
      <c r="AE77" s="7"/>
      <c r="AF77" s="7"/>
      <c r="AG77" s="7"/>
    </row>
    <row r="78" spans="1:33" ht="18" customHeight="1" thickBot="1">
      <c r="A78" s="346" t="s">
        <v>178</v>
      </c>
      <c r="B78" s="347">
        <v>540</v>
      </c>
      <c r="C78" s="348" t="s">
        <v>73</v>
      </c>
      <c r="D78" s="349">
        <f>D77*F25/1000</f>
        <v>1.06</v>
      </c>
      <c r="E78" s="341">
        <f>D78</f>
        <v>1.06</v>
      </c>
      <c r="F78" s="338"/>
      <c r="G78" s="337"/>
      <c r="H78" s="377"/>
      <c r="I78" s="355"/>
      <c r="J78" s="668"/>
      <c r="K78" s="353"/>
      <c r="L78" s="337"/>
      <c r="M78" s="337"/>
      <c r="N78" s="337"/>
      <c r="O78" s="459"/>
      <c r="P78" s="574"/>
      <c r="Q78" s="369"/>
      <c r="R78" s="337"/>
      <c r="S78" s="337"/>
      <c r="T78" s="614"/>
      <c r="U78" s="352"/>
      <c r="V78" s="353"/>
      <c r="W78" s="353"/>
      <c r="X78" s="340"/>
      <c r="Y78" s="337"/>
      <c r="Z78" s="343">
        <f>ROUND(E78+G78+I78+K78+L78+M78+N78+O78+Q78+R78+S78+V78+W78+X78+Y78,2)</f>
        <v>1.06</v>
      </c>
      <c r="AA78" s="344">
        <f>Z78*B78</f>
        <v>572.4</v>
      </c>
      <c r="AB78" s="7"/>
      <c r="AC78" s="223">
        <f>Z78+Z175</f>
        <v>2.12</v>
      </c>
      <c r="AD78" s="7" t="str">
        <f>A78</f>
        <v>Сыр "Росс"</v>
      </c>
      <c r="AE78" s="7"/>
      <c r="AF78" s="7"/>
      <c r="AG78" s="7"/>
    </row>
    <row r="79" spans="1:33" ht="15" customHeight="1" thickTop="1">
      <c r="A79" s="133"/>
      <c r="B79" s="121"/>
      <c r="C79" s="77" t="s">
        <v>72</v>
      </c>
      <c r="D79" s="287"/>
      <c r="E79" s="88"/>
      <c r="F79" s="497"/>
      <c r="G79" s="129"/>
      <c r="H79" s="108"/>
      <c r="I79" s="88"/>
      <c r="J79" s="608"/>
      <c r="K79" s="88"/>
      <c r="L79" s="88"/>
      <c r="M79" s="88"/>
      <c r="N79" s="583"/>
      <c r="O79" s="280"/>
      <c r="P79" s="177"/>
      <c r="Q79" s="129"/>
      <c r="R79" s="88"/>
      <c r="S79" s="88"/>
      <c r="T79" s="215"/>
      <c r="U79" s="428">
        <f>76/100*U26</f>
        <v>76</v>
      </c>
      <c r="V79" s="129">
        <f>U79/U26*V26</f>
        <v>76</v>
      </c>
      <c r="W79" s="131"/>
      <c r="X79" s="88"/>
      <c r="Y79" s="88"/>
      <c r="Z79" s="214"/>
      <c r="AA79" s="123"/>
      <c r="AB79" s="7"/>
      <c r="AC79" s="224"/>
      <c r="AD79" s="7"/>
      <c r="AE79" s="7"/>
      <c r="AF79" s="7"/>
      <c r="AG79" s="7"/>
    </row>
    <row r="80" spans="1:33" ht="18" customHeight="1" thickBot="1">
      <c r="A80" s="346" t="s">
        <v>21</v>
      </c>
      <c r="B80" s="347">
        <v>319.5</v>
      </c>
      <c r="C80" s="348" t="s">
        <v>73</v>
      </c>
      <c r="D80" s="385"/>
      <c r="E80" s="350"/>
      <c r="F80" s="363"/>
      <c r="G80" s="350"/>
      <c r="H80" s="349"/>
      <c r="I80" s="350"/>
      <c r="J80" s="569"/>
      <c r="K80" s="350"/>
      <c r="L80" s="350"/>
      <c r="M80" s="350"/>
      <c r="N80" s="341"/>
      <c r="O80" s="420"/>
      <c r="P80" s="349"/>
      <c r="Q80" s="422"/>
      <c r="R80" s="350"/>
      <c r="S80" s="350"/>
      <c r="T80" s="379"/>
      <c r="U80" s="364">
        <f>U79*F25/1000</f>
        <v>7.6</v>
      </c>
      <c r="V80" s="341">
        <f>U80</f>
        <v>7.6</v>
      </c>
      <c r="W80" s="341"/>
      <c r="X80" s="350"/>
      <c r="Y80" s="350"/>
      <c r="Z80" s="343">
        <f>ROUND(E80+G80+I80+K80+L80+M80+N80+O80+Q80+R80+S80+V80+W80+X80+Y80,2)</f>
        <v>7.6</v>
      </c>
      <c r="AA80" s="344">
        <f>Z80*B80</f>
        <v>2428.1999999999998</v>
      </c>
      <c r="AB80" s="7"/>
      <c r="AC80" s="223">
        <f>Z80+Z177</f>
        <v>13.68</v>
      </c>
      <c r="AD80" s="7" t="str">
        <f>A80</f>
        <v>Творог</v>
      </c>
      <c r="AE80" s="7"/>
      <c r="AF80" s="7"/>
      <c r="AG80" s="7"/>
    </row>
    <row r="81" spans="1:33" ht="14.25" customHeight="1" thickTop="1">
      <c r="A81" s="133"/>
      <c r="B81" s="122"/>
      <c r="C81" s="77" t="s">
        <v>72</v>
      </c>
      <c r="D81" s="305"/>
      <c r="E81" s="268"/>
      <c r="F81" s="112"/>
      <c r="G81" s="106"/>
      <c r="H81" s="112">
        <v>0.5</v>
      </c>
      <c r="I81" s="128">
        <f>H81/H26*I26</f>
        <v>0.5</v>
      </c>
      <c r="J81" s="669"/>
      <c r="K81" s="184"/>
      <c r="L81" s="114"/>
      <c r="M81" s="106"/>
      <c r="N81" s="106"/>
      <c r="O81" s="460"/>
      <c r="P81" s="316"/>
      <c r="Q81" s="113"/>
      <c r="R81" s="127"/>
      <c r="S81" s="106"/>
      <c r="T81" s="455"/>
      <c r="U81" s="270"/>
      <c r="V81" s="268"/>
      <c r="W81" s="268"/>
      <c r="X81" s="127"/>
      <c r="Y81" s="106"/>
      <c r="Z81" s="214"/>
      <c r="AA81" s="123"/>
      <c r="AB81" s="7"/>
      <c r="AC81" s="224"/>
      <c r="AD81" s="7"/>
      <c r="AE81" s="7"/>
      <c r="AF81" s="7"/>
      <c r="AG81" s="7"/>
    </row>
    <row r="82" spans="1:33" ht="18" customHeight="1" thickBot="1">
      <c r="A82" s="346" t="s">
        <v>29</v>
      </c>
      <c r="B82" s="347">
        <v>500</v>
      </c>
      <c r="C82" s="348" t="s">
        <v>73</v>
      </c>
      <c r="D82" s="385"/>
      <c r="E82" s="353"/>
      <c r="F82" s="338"/>
      <c r="G82" s="337"/>
      <c r="H82" s="377">
        <f>H81*F25/1000</f>
        <v>0.05</v>
      </c>
      <c r="I82" s="357">
        <f>H82</f>
        <v>0.05</v>
      </c>
      <c r="J82" s="567"/>
      <c r="K82" s="366"/>
      <c r="L82" s="342"/>
      <c r="M82" s="337"/>
      <c r="N82" s="337"/>
      <c r="O82" s="459"/>
      <c r="P82" s="574"/>
      <c r="Q82" s="350"/>
      <c r="R82" s="358"/>
      <c r="S82" s="337"/>
      <c r="T82" s="614"/>
      <c r="U82" s="352"/>
      <c r="V82" s="353"/>
      <c r="W82" s="353"/>
      <c r="X82" s="355"/>
      <c r="Y82" s="337"/>
      <c r="Z82" s="356">
        <f>ROUND(E82+G82+I82+K82+L82+M82+N82+O82+Q82+R82+S82+V82+W82+X82+Y82,3)</f>
        <v>0.05</v>
      </c>
      <c r="AA82" s="344">
        <f>Z82*B82</f>
        <v>25</v>
      </c>
      <c r="AB82" s="7"/>
      <c r="AC82" s="225">
        <f>Z82+Z179</f>
        <v>0.08</v>
      </c>
      <c r="AD82" s="7" t="str">
        <f>A82</f>
        <v>Чай</v>
      </c>
      <c r="AE82" s="7"/>
      <c r="AF82" s="7"/>
      <c r="AG82" s="7"/>
    </row>
    <row r="83" spans="1:33" ht="14.25" customHeight="1" thickTop="1">
      <c r="A83" s="133"/>
      <c r="B83" s="122"/>
      <c r="C83" s="77" t="s">
        <v>72</v>
      </c>
      <c r="D83" s="287"/>
      <c r="E83" s="268"/>
      <c r="F83" s="112"/>
      <c r="G83" s="106"/>
      <c r="H83" s="112"/>
      <c r="I83" s="106"/>
      <c r="J83" s="669"/>
      <c r="K83" s="268"/>
      <c r="L83" s="106"/>
      <c r="M83" s="106"/>
      <c r="N83" s="127"/>
      <c r="O83" s="131">
        <v>2.2000000000000002</v>
      </c>
      <c r="P83" s="177"/>
      <c r="Q83" s="129"/>
      <c r="R83" s="106"/>
      <c r="S83" s="106"/>
      <c r="T83" s="455"/>
      <c r="U83" s="274"/>
      <c r="V83" s="268"/>
      <c r="W83" s="268"/>
      <c r="X83" s="106"/>
      <c r="Y83" s="106"/>
      <c r="Z83" s="214"/>
      <c r="AA83" s="123"/>
      <c r="AB83" s="7"/>
      <c r="AC83" s="224"/>
      <c r="AD83" s="7"/>
      <c r="AE83" s="7"/>
      <c r="AF83" s="7"/>
      <c r="AG83" s="7"/>
    </row>
    <row r="84" spans="1:33" ht="18" customHeight="1" thickBot="1">
      <c r="A84" s="346" t="s">
        <v>99</v>
      </c>
      <c r="B84" s="347">
        <v>370</v>
      </c>
      <c r="C84" s="348" t="s">
        <v>73</v>
      </c>
      <c r="D84" s="385"/>
      <c r="E84" s="353"/>
      <c r="F84" s="338"/>
      <c r="G84" s="337"/>
      <c r="H84" s="338"/>
      <c r="I84" s="337"/>
      <c r="J84" s="668"/>
      <c r="K84" s="353"/>
      <c r="L84" s="337"/>
      <c r="M84" s="337"/>
      <c r="N84" s="340"/>
      <c r="O84" s="341">
        <f>O83*B25/1000</f>
        <v>0.22000000000000003</v>
      </c>
      <c r="P84" s="349"/>
      <c r="Q84" s="422"/>
      <c r="R84" s="358"/>
      <c r="S84" s="358"/>
      <c r="T84" s="416"/>
      <c r="U84" s="360"/>
      <c r="V84" s="353"/>
      <c r="W84" s="353"/>
      <c r="X84" s="337"/>
      <c r="Y84" s="337"/>
      <c r="Z84" s="343">
        <f>ROUND(E84+G84+I84+K84+L84+M84+N84+O84+Q84+R84+S84+V84+W84+X84+Y84,2)</f>
        <v>0.22</v>
      </c>
      <c r="AA84" s="344">
        <f>Z84*B84</f>
        <v>81.400000000000006</v>
      </c>
      <c r="AB84" s="7"/>
      <c r="AC84" s="223">
        <f>Z84+Z181</f>
        <v>0.22</v>
      </c>
      <c r="AD84" s="7" t="str">
        <f>A84</f>
        <v>Томатная паста</v>
      </c>
      <c r="AE84" s="7"/>
      <c r="AF84" s="7"/>
      <c r="AG84" s="7"/>
    </row>
    <row r="85" spans="1:33" ht="13.5" customHeight="1" thickTop="1">
      <c r="A85" s="133"/>
      <c r="B85" s="122"/>
      <c r="C85" s="77" t="s">
        <v>72</v>
      </c>
      <c r="D85" s="287"/>
      <c r="E85" s="271"/>
      <c r="F85" s="112"/>
      <c r="G85" s="105"/>
      <c r="H85" s="112"/>
      <c r="I85" s="105"/>
      <c r="J85" s="669"/>
      <c r="K85" s="271"/>
      <c r="L85" s="105"/>
      <c r="M85" s="250"/>
      <c r="N85" s="105"/>
      <c r="O85" s="461"/>
      <c r="P85" s="578"/>
      <c r="Q85" s="576"/>
      <c r="R85" s="127">
        <v>0.18</v>
      </c>
      <c r="S85" s="105"/>
      <c r="T85" s="640"/>
      <c r="U85" s="273"/>
      <c r="V85" s="271"/>
      <c r="W85" s="127"/>
      <c r="X85" s="127">
        <v>0.18</v>
      </c>
      <c r="Y85" s="105"/>
      <c r="Z85" s="213"/>
      <c r="AA85" s="123"/>
      <c r="AB85" s="7"/>
      <c r="AC85" s="224"/>
      <c r="AD85" s="7"/>
      <c r="AE85" s="7"/>
      <c r="AF85" s="7"/>
      <c r="AG85" s="7"/>
    </row>
    <row r="86" spans="1:33" ht="18" customHeight="1" thickBot="1">
      <c r="A86" s="346" t="s">
        <v>75</v>
      </c>
      <c r="B86" s="347">
        <v>900</v>
      </c>
      <c r="C86" s="348" t="s">
        <v>73</v>
      </c>
      <c r="D86" s="385"/>
      <c r="E86" s="353"/>
      <c r="F86" s="338"/>
      <c r="G86" s="337"/>
      <c r="H86" s="338"/>
      <c r="I86" s="337"/>
      <c r="J86" s="668"/>
      <c r="K86" s="353"/>
      <c r="L86" s="337"/>
      <c r="M86" s="585"/>
      <c r="N86" s="337"/>
      <c r="O86" s="459"/>
      <c r="P86" s="574"/>
      <c r="Q86" s="369"/>
      <c r="R86" s="357">
        <f>R85*B25/1000</f>
        <v>1.7999999999999999E-2</v>
      </c>
      <c r="S86" s="337"/>
      <c r="T86" s="614"/>
      <c r="U86" s="352"/>
      <c r="V86" s="353"/>
      <c r="W86" s="357"/>
      <c r="X86" s="357">
        <f>X85*B25/1000</f>
        <v>1.7999999999999999E-2</v>
      </c>
      <c r="Y86" s="337"/>
      <c r="Z86" s="356">
        <f>ROUND(E86+G86+I86+K86+L86+M86+N86+O86+Q86+R86+S86+V86+W86+X86+Y86,3)</f>
        <v>3.5999999999999997E-2</v>
      </c>
      <c r="AA86" s="344">
        <f>Z86*B86</f>
        <v>32.4</v>
      </c>
      <c r="AB86" s="7"/>
      <c r="AC86" s="225">
        <f>Z86+Z183</f>
        <v>6.6000000000000003E-2</v>
      </c>
      <c r="AD86" s="7" t="str">
        <f>A86</f>
        <v>Лимонная к-та</v>
      </c>
      <c r="AE86" s="7"/>
      <c r="AF86" s="7"/>
      <c r="AG86" s="7"/>
    </row>
    <row r="87" spans="1:33" ht="15.75" customHeight="1" thickTop="1">
      <c r="A87" s="141"/>
      <c r="B87" s="122"/>
      <c r="C87" s="77" t="s">
        <v>72</v>
      </c>
      <c r="D87" s="287"/>
      <c r="E87" s="268"/>
      <c r="F87" s="112"/>
      <c r="G87" s="106"/>
      <c r="H87" s="112"/>
      <c r="I87" s="106"/>
      <c r="J87" s="669"/>
      <c r="K87" s="268"/>
      <c r="L87" s="409">
        <f>L88/B25*1000</f>
        <v>100</v>
      </c>
      <c r="M87" s="251"/>
      <c r="N87" s="106"/>
      <c r="O87" s="460"/>
      <c r="P87" s="577"/>
      <c r="Q87" s="464"/>
      <c r="R87" s="106"/>
      <c r="S87" s="106"/>
      <c r="T87" s="131"/>
      <c r="U87" s="406"/>
      <c r="V87" s="184"/>
      <c r="W87" s="250"/>
      <c r="X87" s="106"/>
      <c r="Y87" s="106"/>
      <c r="Z87" s="214"/>
      <c r="AA87" s="123"/>
      <c r="AB87" s="7"/>
      <c r="AC87" s="224"/>
      <c r="AD87" s="7"/>
      <c r="AE87" s="7"/>
      <c r="AF87" s="7"/>
      <c r="AG87" s="7"/>
    </row>
    <row r="88" spans="1:33" ht="18" customHeight="1" thickBot="1">
      <c r="A88" s="346" t="s">
        <v>121</v>
      </c>
      <c r="B88" s="347">
        <v>100</v>
      </c>
      <c r="C88" s="348" t="s">
        <v>73</v>
      </c>
      <c r="D88" s="385"/>
      <c r="E88" s="353"/>
      <c r="F88" s="338"/>
      <c r="G88" s="337"/>
      <c r="H88" s="338"/>
      <c r="I88" s="337"/>
      <c r="J88" s="668"/>
      <c r="K88" s="353"/>
      <c r="L88" s="342">
        <v>10</v>
      </c>
      <c r="M88" s="358"/>
      <c r="N88" s="337"/>
      <c r="O88" s="459"/>
      <c r="P88" s="574"/>
      <c r="Q88" s="369"/>
      <c r="R88" s="337"/>
      <c r="S88" s="337"/>
      <c r="T88" s="341"/>
      <c r="U88" s="364"/>
      <c r="V88" s="350"/>
      <c r="W88" s="340"/>
      <c r="X88" s="337"/>
      <c r="Y88" s="337"/>
      <c r="Z88" s="343">
        <f>ROUND(E88+G88+I88+K88+L88+M88+N88+O88+Q88+R88+S88+T88+V88+W88+X88+Y88,2)</f>
        <v>10</v>
      </c>
      <c r="AA88" s="344">
        <f>Z88*B88</f>
        <v>1000</v>
      </c>
      <c r="AB88" s="7"/>
      <c r="AC88" s="223">
        <f>Z88+Z185</f>
        <v>20</v>
      </c>
      <c r="AD88" s="7" t="str">
        <f>A88</f>
        <v>Фрукт?</v>
      </c>
      <c r="AE88" s="7"/>
      <c r="AF88" s="7"/>
      <c r="AG88" s="7"/>
    </row>
    <row r="89" spans="1:33" ht="12.75" customHeight="1" thickTop="1">
      <c r="A89" s="133"/>
      <c r="B89" s="122"/>
      <c r="C89" s="77" t="s">
        <v>72</v>
      </c>
      <c r="D89" s="287"/>
      <c r="E89" s="268"/>
      <c r="F89" s="112">
        <v>1.1000000000000001</v>
      </c>
      <c r="G89" s="128">
        <f>F89/F26*G26</f>
        <v>1.1000000000000001</v>
      </c>
      <c r="H89" s="112"/>
      <c r="I89" s="106"/>
      <c r="J89" s="669"/>
      <c r="K89" s="268"/>
      <c r="L89" s="106"/>
      <c r="M89" s="250">
        <v>0.1</v>
      </c>
      <c r="N89" s="127">
        <v>0.5</v>
      </c>
      <c r="O89" s="679">
        <v>1.1000000000000001</v>
      </c>
      <c r="P89" s="101"/>
      <c r="Q89" s="127">
        <v>0.4</v>
      </c>
      <c r="R89" s="106"/>
      <c r="S89" s="106"/>
      <c r="T89" s="455"/>
      <c r="U89" s="274"/>
      <c r="V89" s="272">
        <v>0.2</v>
      </c>
      <c r="W89" s="272"/>
      <c r="X89" s="106"/>
      <c r="Y89" s="106"/>
      <c r="Z89" s="214"/>
      <c r="AA89" s="123"/>
      <c r="AB89" s="7"/>
      <c r="AC89" s="224"/>
      <c r="AD89" s="7"/>
      <c r="AE89" s="7"/>
      <c r="AF89" s="7"/>
      <c r="AG89" s="7"/>
    </row>
    <row r="90" spans="1:33" ht="18" customHeight="1" thickBot="1">
      <c r="A90" s="346" t="s">
        <v>138</v>
      </c>
      <c r="B90" s="347">
        <v>28</v>
      </c>
      <c r="C90" s="348" t="s">
        <v>73</v>
      </c>
      <c r="D90" s="385"/>
      <c r="E90" s="353"/>
      <c r="F90" s="338">
        <f>F89*F25/1000</f>
        <v>0.11000000000000001</v>
      </c>
      <c r="G90" s="339">
        <f>F90</f>
        <v>0.11000000000000001</v>
      </c>
      <c r="H90" s="338"/>
      <c r="I90" s="337"/>
      <c r="J90" s="668"/>
      <c r="K90" s="353"/>
      <c r="L90" s="337"/>
      <c r="M90" s="641">
        <f>M89*B25/1000</f>
        <v>0.01</v>
      </c>
      <c r="N90" s="339">
        <f>N89*B25/1000</f>
        <v>0.05</v>
      </c>
      <c r="O90" s="372">
        <f>O89*B25/1000</f>
        <v>0.11000000000000001</v>
      </c>
      <c r="P90" s="376"/>
      <c r="Q90" s="339">
        <f>Q89*E25/1000</f>
        <v>0.04</v>
      </c>
      <c r="R90" s="337"/>
      <c r="S90" s="337"/>
      <c r="T90" s="614"/>
      <c r="U90" s="361"/>
      <c r="V90" s="341">
        <f>V89*B25/1000</f>
        <v>0.02</v>
      </c>
      <c r="W90" s="341"/>
      <c r="X90" s="337"/>
      <c r="Y90" s="337"/>
      <c r="Z90" s="343">
        <f>ROUND(E90+G90+I90+K90+L90+M90+N90+O90+Q90+R90+S90+V90+W90+X90+Y90,2)</f>
        <v>0.34</v>
      </c>
      <c r="AA90" s="344">
        <f>Z90*B90</f>
        <v>9.5200000000000014</v>
      </c>
      <c r="AB90" s="7"/>
      <c r="AC90" s="223">
        <f>Z90+Z187</f>
        <v>0.68</v>
      </c>
      <c r="AD90" s="7" t="str">
        <f>A90</f>
        <v>Соль иодиров.</v>
      </c>
      <c r="AE90" s="7"/>
      <c r="AF90" s="7"/>
      <c r="AG90" s="7"/>
    </row>
    <row r="91" spans="1:33" ht="14.25" customHeight="1" thickTop="1">
      <c r="A91" s="133"/>
      <c r="B91" s="122"/>
      <c r="C91" s="77" t="s">
        <v>72</v>
      </c>
      <c r="D91" s="287"/>
      <c r="E91" s="268"/>
      <c r="F91" s="112"/>
      <c r="G91" s="106"/>
      <c r="H91" s="112"/>
      <c r="I91" s="106"/>
      <c r="J91" s="669"/>
      <c r="K91" s="268"/>
      <c r="L91" s="106"/>
      <c r="M91" s="250"/>
      <c r="N91" s="106"/>
      <c r="O91" s="460"/>
      <c r="P91" s="316"/>
      <c r="Q91" s="464"/>
      <c r="R91" s="106"/>
      <c r="S91" s="106"/>
      <c r="T91" s="455"/>
      <c r="U91" s="270"/>
      <c r="V91" s="184"/>
      <c r="W91" s="184"/>
      <c r="X91" s="127">
        <v>21.6</v>
      </c>
      <c r="Y91" s="106"/>
      <c r="Z91" s="214"/>
      <c r="AA91" s="123"/>
      <c r="AB91" s="7"/>
      <c r="AC91" s="224"/>
      <c r="AD91" s="7"/>
      <c r="AE91" s="7"/>
      <c r="AF91" s="7"/>
      <c r="AG91" s="7"/>
    </row>
    <row r="92" spans="1:33" ht="18" customHeight="1" thickBot="1">
      <c r="A92" s="346" t="s">
        <v>146</v>
      </c>
      <c r="B92" s="347">
        <v>208</v>
      </c>
      <c r="C92" s="348" t="s">
        <v>73</v>
      </c>
      <c r="D92" s="385"/>
      <c r="E92" s="353"/>
      <c r="F92" s="338"/>
      <c r="G92" s="337"/>
      <c r="H92" s="338"/>
      <c r="I92" s="337"/>
      <c r="J92" s="668"/>
      <c r="K92" s="353"/>
      <c r="L92" s="337"/>
      <c r="M92" s="358"/>
      <c r="N92" s="337"/>
      <c r="O92" s="459"/>
      <c r="P92" s="574"/>
      <c r="Q92" s="353"/>
      <c r="R92" s="337"/>
      <c r="S92" s="337"/>
      <c r="T92" s="614"/>
      <c r="U92" s="352"/>
      <c r="V92" s="350"/>
      <c r="W92" s="350"/>
      <c r="X92" s="339">
        <f>X91*B25/1000</f>
        <v>2.16</v>
      </c>
      <c r="Y92" s="337"/>
      <c r="Z92" s="356">
        <f>ROUND(E92+G92+I92+K92+L92+M92+N92+O92+Q92+R92+S92+V92+W92+X92+Y92,3)</f>
        <v>2.16</v>
      </c>
      <c r="AA92" s="344">
        <f>Z92*B92</f>
        <v>449.28000000000003</v>
      </c>
      <c r="AB92" s="7"/>
      <c r="AC92" s="223">
        <f>Z92+Z189</f>
        <v>3.96</v>
      </c>
      <c r="AD92" s="7" t="str">
        <f>A92</f>
        <v>Кисель конц.</v>
      </c>
      <c r="AE92" s="7"/>
      <c r="AF92" s="7"/>
      <c r="AG92" s="7"/>
    </row>
    <row r="93" spans="1:33" ht="14.25" customHeight="1" thickTop="1">
      <c r="A93" s="133"/>
      <c r="B93" s="121"/>
      <c r="C93" s="77" t="s">
        <v>72</v>
      </c>
      <c r="D93" s="287"/>
      <c r="E93" s="88"/>
      <c r="F93" s="497"/>
      <c r="G93" s="129"/>
      <c r="H93" s="108"/>
      <c r="I93" s="88"/>
      <c r="J93" s="608"/>
      <c r="K93" s="88"/>
      <c r="L93" s="88"/>
      <c r="M93" s="88"/>
      <c r="N93" s="583"/>
      <c r="O93" s="280"/>
      <c r="P93" s="177"/>
      <c r="Q93" s="129"/>
      <c r="R93" s="88"/>
      <c r="S93" s="88"/>
      <c r="T93" s="215"/>
      <c r="U93" s="428">
        <f>10.2/100*U26</f>
        <v>10.199999999999999</v>
      </c>
      <c r="V93" s="129">
        <f>U93/U26*V26</f>
        <v>10.199999999999999</v>
      </c>
      <c r="W93" s="131"/>
      <c r="X93" s="88"/>
      <c r="Y93" s="88"/>
      <c r="Z93" s="214"/>
      <c r="AA93" s="123"/>
      <c r="AB93" s="7"/>
      <c r="AC93" s="224"/>
      <c r="AD93" s="7"/>
      <c r="AE93" s="7"/>
      <c r="AF93" s="7"/>
      <c r="AG93" s="7"/>
    </row>
    <row r="94" spans="1:33" ht="18" customHeight="1" thickBot="1">
      <c r="A94" s="346" t="s">
        <v>303</v>
      </c>
      <c r="B94" s="347">
        <v>292</v>
      </c>
      <c r="C94" s="348" t="s">
        <v>73</v>
      </c>
      <c r="D94" s="385"/>
      <c r="E94" s="350"/>
      <c r="F94" s="363"/>
      <c r="G94" s="350"/>
      <c r="H94" s="349"/>
      <c r="I94" s="350"/>
      <c r="J94" s="569"/>
      <c r="K94" s="350"/>
      <c r="L94" s="350"/>
      <c r="M94" s="350"/>
      <c r="N94" s="341"/>
      <c r="O94" s="420"/>
      <c r="P94" s="349"/>
      <c r="Q94" s="422"/>
      <c r="R94" s="350"/>
      <c r="S94" s="350"/>
      <c r="T94" s="379"/>
      <c r="U94" s="364">
        <f>U93*F25/1000</f>
        <v>1.0199999999999998</v>
      </c>
      <c r="V94" s="341">
        <f>U94</f>
        <v>1.0199999999999998</v>
      </c>
      <c r="W94" s="341"/>
      <c r="X94" s="350"/>
      <c r="Y94" s="350"/>
      <c r="Z94" s="343">
        <f>ROUND(E94+G94+I94+K94+L94+M94+N94+O94+Q94+R94+S94+V94+W94+X94+Y94,2)</f>
        <v>1.02</v>
      </c>
      <c r="AA94" s="344">
        <f>Z94*B94</f>
        <v>297.84000000000003</v>
      </c>
      <c r="AB94" s="7"/>
      <c r="AC94" s="223">
        <f>Z94+Z191</f>
        <v>1.8399999999999999</v>
      </c>
      <c r="AD94" s="7" t="str">
        <f>A94</f>
        <v>Изюм.</v>
      </c>
    </row>
    <row r="95" spans="1:33" ht="12.75" customHeight="1">
      <c r="A95" s="136"/>
      <c r="B95" s="6"/>
      <c r="C95" s="75"/>
      <c r="D95" s="75"/>
      <c r="E95" s="105"/>
      <c r="F95" s="112"/>
      <c r="G95" s="105"/>
      <c r="H95" s="112"/>
      <c r="I95" s="105"/>
      <c r="J95" s="105"/>
      <c r="K95" s="105"/>
      <c r="L95" s="105"/>
      <c r="M95" s="271"/>
      <c r="N95" s="271"/>
      <c r="O95" s="105"/>
      <c r="P95" s="112"/>
      <c r="Q95" s="105"/>
      <c r="R95" s="105"/>
      <c r="S95" s="105"/>
      <c r="T95" s="105"/>
      <c r="U95" s="593"/>
      <c r="V95" s="271"/>
      <c r="W95" s="271"/>
      <c r="X95" s="105"/>
      <c r="Y95" s="105"/>
      <c r="Z95" s="125"/>
      <c r="AA95" s="696">
        <f>AA28+AA30+AA32+AA34+AA36+AA38+AA40+AA42+AA44+AA46+AA48+AA50+AA60+AA62+AA64+AA66+AA68+AA70+AA72+AA74+AA76+AA78+AA80+AA82+AA84+AA86+AA88+AA90+AA92+AA94</f>
        <v>12741.537200000001</v>
      </c>
      <c r="AB95" s="7"/>
      <c r="AC95" s="224"/>
      <c r="AD95" s="7"/>
    </row>
    <row r="96" spans="1:33" ht="14.25" customHeight="1">
      <c r="A96" s="43" t="s">
        <v>317</v>
      </c>
      <c r="R96" s="43" t="s">
        <v>30</v>
      </c>
      <c r="S96" s="9"/>
    </row>
    <row r="97" spans="1:29" ht="11.25" customHeight="1">
      <c r="A97" s="43" t="s">
        <v>37</v>
      </c>
      <c r="R97" s="43" t="s">
        <v>31</v>
      </c>
      <c r="AA97" s="118">
        <f>K13</f>
        <v>11000</v>
      </c>
    </row>
    <row r="98" spans="1:29" ht="17.25" customHeight="1">
      <c r="A98" s="43" t="s">
        <v>329</v>
      </c>
      <c r="R98" s="43" t="s">
        <v>335</v>
      </c>
    </row>
    <row r="99" spans="1:29" ht="30" customHeight="1">
      <c r="A99" s="3" t="s">
        <v>319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7"/>
      <c r="T99" s="7"/>
      <c r="V99" s="10"/>
      <c r="W99" s="10"/>
      <c r="X99" s="10"/>
      <c r="Y99" s="10"/>
      <c r="Z99" s="11"/>
      <c r="AA99" s="11"/>
      <c r="AB99" s="7"/>
    </row>
    <row r="100" spans="1:29" ht="10.5" customHeight="1">
      <c r="A100" s="9" t="s">
        <v>2</v>
      </c>
      <c r="B100" s="8"/>
      <c r="C100" s="8"/>
      <c r="D100" s="8"/>
      <c r="E100" s="8"/>
      <c r="F100" s="11"/>
      <c r="G100" s="8"/>
      <c r="H100" s="8"/>
      <c r="I100" s="8"/>
      <c r="J100" s="8"/>
      <c r="K100" s="8"/>
      <c r="L100" s="8"/>
      <c r="M100" s="8"/>
      <c r="N100" s="8"/>
      <c r="O100" s="8"/>
      <c r="P100" s="1060" t="s">
        <v>80</v>
      </c>
      <c r="Q100" s="1060"/>
      <c r="R100" s="1060"/>
      <c r="S100" s="1060"/>
      <c r="T100" s="1060"/>
      <c r="U100" s="1060"/>
      <c r="V100" s="1060"/>
      <c r="W100" s="1060"/>
      <c r="X100" s="1060"/>
      <c r="Y100" s="1060"/>
      <c r="Z100" s="1060"/>
      <c r="AA100" s="1060"/>
      <c r="AB100" s="115"/>
    </row>
    <row r="101" spans="1:29" ht="18.75">
      <c r="A101" s="757" t="str">
        <f>A4</f>
        <v>"08"   января  2024  г.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1"/>
      <c r="AB101" s="7"/>
    </row>
    <row r="102" spans="1:29" ht="2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2"/>
      <c r="N102" s="3"/>
      <c r="O102" s="3"/>
      <c r="P102" s="2"/>
      <c r="Q102" s="2"/>
      <c r="R102" s="2"/>
      <c r="S102" s="1"/>
      <c r="T102" s="1"/>
      <c r="U102" s="7"/>
      <c r="V102" s="7"/>
      <c r="W102" s="7"/>
      <c r="X102" s="7"/>
      <c r="Y102" s="7"/>
      <c r="AB102" s="7"/>
    </row>
    <row r="103" spans="1:29" ht="13.5" thickBot="1">
      <c r="A103" s="1048" t="s">
        <v>42</v>
      </c>
      <c r="B103" s="1048"/>
      <c r="C103" s="1048"/>
      <c r="D103" s="729"/>
      <c r="E103" s="1047" t="s">
        <v>35</v>
      </c>
      <c r="F103" s="1048"/>
      <c r="G103" s="1049"/>
      <c r="H103" s="1047" t="s">
        <v>60</v>
      </c>
      <c r="I103" s="1048"/>
      <c r="J103" s="1049"/>
      <c r="K103" s="1047" t="s">
        <v>58</v>
      </c>
      <c r="L103" s="1048"/>
      <c r="M103" s="1049"/>
      <c r="N103" s="31"/>
      <c r="O103" s="29"/>
      <c r="P103" s="21"/>
      <c r="Q103" s="21"/>
      <c r="R103" s="3"/>
      <c r="S103" s="7"/>
      <c r="T103" s="7"/>
      <c r="U103" s="7"/>
      <c r="V103" s="7"/>
      <c r="W103" s="7"/>
      <c r="X103" s="7"/>
      <c r="Y103" s="7"/>
      <c r="Z103" s="1088" t="s">
        <v>0</v>
      </c>
      <c r="AA103" s="1089"/>
      <c r="AB103" s="7"/>
    </row>
    <row r="104" spans="1:29" ht="7.5" customHeight="1">
      <c r="A104" s="1059" t="s">
        <v>43</v>
      </c>
      <c r="B104" s="1059"/>
      <c r="C104" s="1059"/>
      <c r="D104" s="726"/>
      <c r="E104" s="1065" t="s">
        <v>34</v>
      </c>
      <c r="F104" s="1066"/>
      <c r="G104" s="1067"/>
      <c r="H104" s="1065" t="s">
        <v>12</v>
      </c>
      <c r="I104" s="1066"/>
      <c r="J104" s="1067"/>
      <c r="K104" s="1065" t="s">
        <v>15</v>
      </c>
      <c r="L104" s="1066"/>
      <c r="M104" s="1067"/>
      <c r="N104" s="1065" t="s">
        <v>14</v>
      </c>
      <c r="O104" s="1066"/>
      <c r="P104" s="1067"/>
      <c r="Q104" s="727" t="s">
        <v>196</v>
      </c>
      <c r="R104" s="1106" t="str">
        <f>R7</f>
        <v xml:space="preserve"> на "09" января  2024 г</v>
      </c>
      <c r="S104" s="1138"/>
      <c r="T104" s="1138"/>
      <c r="U104" s="1138"/>
      <c r="V104" s="1138"/>
      <c r="W104" s="1138"/>
      <c r="X104" s="1050" t="s">
        <v>190</v>
      </c>
      <c r="Y104" s="1156"/>
      <c r="Z104" s="1090" t="s">
        <v>23</v>
      </c>
      <c r="AA104" s="1091"/>
      <c r="AB104" s="7"/>
    </row>
    <row r="105" spans="1:29" ht="13.5" thickBot="1">
      <c r="A105" s="730" t="s">
        <v>44</v>
      </c>
      <c r="B105" s="1047" t="s">
        <v>46</v>
      </c>
      <c r="C105" s="1048"/>
      <c r="D105" s="726"/>
      <c r="E105" s="1065" t="s">
        <v>39</v>
      </c>
      <c r="F105" s="1066"/>
      <c r="G105" s="1067"/>
      <c r="H105" s="1065" t="s">
        <v>49</v>
      </c>
      <c r="I105" s="1066"/>
      <c r="J105" s="1067"/>
      <c r="K105" s="1065" t="s">
        <v>59</v>
      </c>
      <c r="L105" s="1066"/>
      <c r="M105" s="1067"/>
      <c r="N105" s="1065" t="s">
        <v>40</v>
      </c>
      <c r="O105" s="1066"/>
      <c r="P105" s="1067"/>
      <c r="Q105" s="727" t="s">
        <v>197</v>
      </c>
      <c r="R105" s="1138"/>
      <c r="S105" s="1138"/>
      <c r="T105" s="1138"/>
      <c r="U105" s="1138"/>
      <c r="V105" s="1138"/>
      <c r="W105" s="1138"/>
      <c r="Z105" s="53"/>
      <c r="AA105" s="56"/>
      <c r="AB105" s="7"/>
    </row>
    <row r="106" spans="1:29" ht="13.5" thickBot="1">
      <c r="A106" s="727" t="s">
        <v>45</v>
      </c>
      <c r="B106" s="1065" t="s">
        <v>47</v>
      </c>
      <c r="C106" s="1066"/>
      <c r="D106" s="725"/>
      <c r="E106" s="1065" t="s">
        <v>38</v>
      </c>
      <c r="F106" s="1066"/>
      <c r="G106" s="1067"/>
      <c r="H106" s="1065" t="s">
        <v>13</v>
      </c>
      <c r="I106" s="1066"/>
      <c r="J106" s="1067"/>
      <c r="K106" s="1065" t="s">
        <v>38</v>
      </c>
      <c r="L106" s="1066"/>
      <c r="M106" s="1067"/>
      <c r="N106" s="25"/>
      <c r="O106" s="3"/>
      <c r="P106" s="17"/>
      <c r="Q106" s="727" t="s">
        <v>198</v>
      </c>
      <c r="R106" s="3" t="s">
        <v>194</v>
      </c>
      <c r="S106" s="548"/>
      <c r="T106" s="548"/>
      <c r="U106" s="120"/>
      <c r="V106" s="120"/>
      <c r="W106" s="120"/>
      <c r="X106" s="120"/>
      <c r="Y106" s="746" t="s">
        <v>191</v>
      </c>
      <c r="Z106" s="701"/>
      <c r="AA106" s="708"/>
      <c r="AB106" s="120"/>
      <c r="AC106" s="120"/>
    </row>
    <row r="107" spans="1:29" ht="7.5" customHeight="1">
      <c r="A107" s="17"/>
      <c r="B107" s="1058" t="s">
        <v>48</v>
      </c>
      <c r="C107" s="1059"/>
      <c r="D107" s="726"/>
      <c r="E107" s="723"/>
      <c r="F107" s="3"/>
      <c r="G107" s="30"/>
      <c r="H107" s="3"/>
      <c r="I107" s="3"/>
      <c r="J107" s="30"/>
      <c r="K107" s="1058"/>
      <c r="L107" s="1059"/>
      <c r="M107" s="1073"/>
      <c r="N107" s="25"/>
      <c r="O107" s="3"/>
      <c r="P107" s="17"/>
      <c r="Q107" s="17"/>
      <c r="S107" s="709" t="s">
        <v>96</v>
      </c>
      <c r="Y107" s="32"/>
      <c r="Z107" s="702"/>
      <c r="AA107" s="703"/>
    </row>
    <row r="108" spans="1:29" ht="13.5" thickBot="1">
      <c r="A108" s="58">
        <v>1</v>
      </c>
      <c r="B108" s="62"/>
      <c r="C108" s="63">
        <v>2</v>
      </c>
      <c r="D108" s="292"/>
      <c r="E108" s="731"/>
      <c r="F108" s="731">
        <v>3</v>
      </c>
      <c r="G108" s="733"/>
      <c r="H108" s="731"/>
      <c r="I108" s="731">
        <v>4</v>
      </c>
      <c r="J108" s="733"/>
      <c r="K108" s="731"/>
      <c r="L108" s="731"/>
      <c r="M108" s="731">
        <v>5</v>
      </c>
      <c r="N108" s="732"/>
      <c r="O108" s="731">
        <v>6</v>
      </c>
      <c r="P108" s="733"/>
      <c r="Q108" s="765">
        <v>7</v>
      </c>
      <c r="R108" s="1074" t="str">
        <f>R11</f>
        <v xml:space="preserve">Структурное подразделение  МАДОУ </v>
      </c>
      <c r="S108" s="1061"/>
      <c r="T108" s="1061"/>
      <c r="U108" s="1061"/>
      <c r="V108" s="1061"/>
      <c r="W108" s="1061"/>
      <c r="X108" s="1061"/>
      <c r="Y108" s="699" t="s">
        <v>192</v>
      </c>
      <c r="Z108" s="705"/>
      <c r="AA108" s="704"/>
      <c r="AB108" s="7"/>
      <c r="AC108" s="7"/>
    </row>
    <row r="109" spans="1:29">
      <c r="A109" s="37"/>
      <c r="B109" s="38"/>
      <c r="C109" s="38"/>
      <c r="D109" s="38"/>
      <c r="E109" s="38"/>
      <c r="F109" s="38"/>
      <c r="G109" s="39"/>
      <c r="H109" s="38"/>
      <c r="I109" s="38"/>
      <c r="J109" s="39"/>
      <c r="K109" s="38"/>
      <c r="L109" s="38"/>
      <c r="M109" s="38"/>
      <c r="N109" s="40"/>
      <c r="O109" s="38"/>
      <c r="P109" s="39"/>
      <c r="Q109" s="42"/>
      <c r="R109" s="1061"/>
      <c r="S109" s="1061"/>
      <c r="T109" s="1061"/>
      <c r="U109" s="1061"/>
      <c r="V109" s="1061"/>
      <c r="W109" s="1061"/>
      <c r="X109" s="1061"/>
      <c r="Y109" s="56"/>
      <c r="Z109" s="32"/>
      <c r="AA109" s="8"/>
      <c r="AB109" s="706"/>
      <c r="AC109" s="7"/>
    </row>
    <row r="110" spans="1:29" ht="16.5" thickBot="1">
      <c r="A110" s="139" t="s">
        <v>201</v>
      </c>
      <c r="B110" s="28"/>
      <c r="C110" s="28"/>
      <c r="D110" s="28"/>
      <c r="E110" s="28"/>
      <c r="F110" s="28"/>
      <c r="G110" s="218">
        <f>G13</f>
        <v>110</v>
      </c>
      <c r="H110" s="1113">
        <f>B122</f>
        <v>100</v>
      </c>
      <c r="I110" s="1113"/>
      <c r="J110" s="1292"/>
      <c r="K110" s="1075">
        <f>G110*H110</f>
        <v>11000</v>
      </c>
      <c r="L110" s="1076"/>
      <c r="M110" s="1077"/>
      <c r="N110" s="1068">
        <f>AA192/B122</f>
        <v>114.73435600000001</v>
      </c>
      <c r="O110" s="1115"/>
      <c r="P110" s="1291"/>
      <c r="Q110" s="52"/>
      <c r="R110" s="3"/>
      <c r="S110" s="710" t="str">
        <f>S13</f>
        <v>"Детский сад № 31 г. Ельца"</v>
      </c>
      <c r="T110" s="2"/>
      <c r="U110" s="538"/>
      <c r="V110" s="7"/>
      <c r="W110" s="7"/>
      <c r="X110" s="7"/>
      <c r="Y110" s="699"/>
      <c r="Z110" s="7"/>
      <c r="AA110" s="7"/>
      <c r="AB110" s="706"/>
      <c r="AC110" s="7"/>
    </row>
    <row r="111" spans="1:29" ht="9.75" customHeight="1" thickBot="1">
      <c r="A111" s="766"/>
      <c r="B111" s="48"/>
      <c r="C111" s="45"/>
      <c r="D111" s="45"/>
      <c r="E111" s="45"/>
      <c r="F111" s="45"/>
      <c r="G111" s="49"/>
      <c r="H111" s="45"/>
      <c r="I111" s="45"/>
      <c r="J111" s="49"/>
      <c r="K111" s="28"/>
      <c r="L111" s="28"/>
      <c r="M111" s="28"/>
      <c r="N111" s="51"/>
      <c r="O111" s="28"/>
      <c r="P111" s="27"/>
      <c r="Q111" s="52"/>
      <c r="R111" s="3"/>
      <c r="S111" s="7"/>
      <c r="T111" s="7"/>
      <c r="X111" s="32"/>
      <c r="Y111" s="56"/>
      <c r="Z111" s="41"/>
      <c r="AA111" s="707"/>
      <c r="AB111" s="7"/>
      <c r="AC111" s="7"/>
    </row>
    <row r="112" spans="1:29" ht="19.5" thickBot="1">
      <c r="A112" s="769"/>
      <c r="B112" s="38"/>
      <c r="C112" s="38"/>
      <c r="D112" s="38"/>
      <c r="E112" s="38"/>
      <c r="F112" s="38"/>
      <c r="G112" s="38"/>
      <c r="H112" s="38"/>
      <c r="I112" s="3" t="s">
        <v>33</v>
      </c>
      <c r="J112" s="42"/>
      <c r="K112" s="45"/>
      <c r="L112" s="45"/>
      <c r="M112" s="45"/>
      <c r="N112" s="1116">
        <f>N110*B122</f>
        <v>11473.435600000001</v>
      </c>
      <c r="O112" s="1117"/>
      <c r="P112" s="1118"/>
      <c r="Q112" s="47"/>
      <c r="R112" s="3" t="s">
        <v>193</v>
      </c>
      <c r="S112" s="7"/>
      <c r="T112" s="7"/>
      <c r="U112" s="549"/>
      <c r="V112" s="711" t="str">
        <f>V15</f>
        <v>Глухова Г.В.</v>
      </c>
      <c r="Y112" s="56"/>
      <c r="Z112" s="66"/>
      <c r="AA112" s="704"/>
      <c r="AB112" s="7"/>
      <c r="AC112" s="7"/>
    </row>
    <row r="113" spans="1:28" ht="5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770"/>
      <c r="L113" s="770"/>
      <c r="M113" s="770"/>
      <c r="N113" s="770"/>
      <c r="O113" s="770"/>
      <c r="P113" s="770"/>
      <c r="Q113" s="770"/>
      <c r="R113" s="3"/>
      <c r="S113" s="7"/>
      <c r="T113" s="7"/>
      <c r="AB113" s="7"/>
    </row>
    <row r="114" spans="1:28" ht="2.2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7"/>
      <c r="T114" s="7"/>
      <c r="U114" s="7"/>
      <c r="V114" s="7"/>
      <c r="W114" s="7"/>
      <c r="X114" s="7"/>
      <c r="Y114" s="7"/>
      <c r="Z114" s="8"/>
      <c r="AA114" s="8"/>
      <c r="AB114" s="7"/>
    </row>
    <row r="115" spans="1:28" ht="12" customHeight="1">
      <c r="A115" s="26" t="s">
        <v>53</v>
      </c>
      <c r="B115" s="20"/>
      <c r="C115" s="65"/>
      <c r="D115" s="65"/>
      <c r="E115" s="14"/>
      <c r="F115" s="14"/>
      <c r="G115" s="14"/>
      <c r="H115" s="14"/>
      <c r="I115" s="14"/>
      <c r="J115" s="14"/>
      <c r="K115" s="14"/>
      <c r="L115" s="14"/>
      <c r="M115" s="14"/>
      <c r="N115" s="28" t="s">
        <v>41</v>
      </c>
      <c r="O115" s="28"/>
      <c r="P115" s="14"/>
      <c r="Q115" s="14"/>
      <c r="R115" s="28"/>
      <c r="S115" s="28"/>
      <c r="T115" s="28"/>
      <c r="U115" s="14"/>
      <c r="V115" s="14"/>
      <c r="W115" s="14"/>
      <c r="X115" s="14"/>
      <c r="Y115" s="14"/>
      <c r="Z115" s="1047" t="s">
        <v>8</v>
      </c>
      <c r="AA115" s="1048"/>
      <c r="AB115" s="7"/>
    </row>
    <row r="116" spans="1:28" ht="12" customHeight="1">
      <c r="A116" s="194"/>
      <c r="B116" s="19"/>
      <c r="C116" s="936" t="s">
        <v>52</v>
      </c>
      <c r="D116" s="953"/>
      <c r="E116" s="1056" t="s">
        <v>108</v>
      </c>
      <c r="F116" s="1084"/>
      <c r="G116" s="1084"/>
      <c r="H116" s="1084"/>
      <c r="I116" s="1084"/>
      <c r="J116" s="1084"/>
      <c r="K116" s="1084"/>
      <c r="L116" s="954" t="s">
        <v>69</v>
      </c>
      <c r="M116" s="1056" t="s">
        <v>16</v>
      </c>
      <c r="N116" s="1052"/>
      <c r="O116" s="1052"/>
      <c r="P116" s="1052"/>
      <c r="Q116" s="1052"/>
      <c r="R116" s="1052"/>
      <c r="S116" s="1087"/>
      <c r="T116" s="853"/>
      <c r="U116" s="1052" t="s">
        <v>17</v>
      </c>
      <c r="V116" s="1052"/>
      <c r="W116" s="1052"/>
      <c r="X116" s="1052"/>
      <c r="Y116" s="1052"/>
      <c r="Z116" s="1062" t="s">
        <v>3</v>
      </c>
      <c r="AA116" s="1059"/>
      <c r="AB116" s="7"/>
    </row>
    <row r="117" spans="1:28" ht="0.75" hidden="1" customHeight="1">
      <c r="A117" s="196"/>
      <c r="B117" s="5"/>
      <c r="C117" s="5" t="s">
        <v>51</v>
      </c>
      <c r="D117" s="506"/>
      <c r="E117" s="1057"/>
      <c r="F117" s="1054"/>
      <c r="G117" s="1054"/>
      <c r="H117" s="1054"/>
      <c r="I117" s="1054"/>
      <c r="J117" s="1054"/>
      <c r="K117" s="1055"/>
      <c r="L117" s="199"/>
      <c r="M117" s="1057"/>
      <c r="N117" s="1054"/>
      <c r="O117" s="1054"/>
      <c r="P117" s="1054"/>
      <c r="Q117" s="1054"/>
      <c r="R117" s="1054"/>
      <c r="S117" s="1086"/>
      <c r="T117" s="633"/>
      <c r="U117" s="1054"/>
      <c r="V117" s="1054"/>
      <c r="W117" s="1054"/>
      <c r="X117" s="1054"/>
      <c r="Y117" s="1054"/>
      <c r="Z117" s="1047" t="s">
        <v>36</v>
      </c>
      <c r="AA117" s="1048"/>
      <c r="AB117" s="8"/>
    </row>
    <row r="118" spans="1:28" ht="12.75" customHeight="1">
      <c r="A118" s="196" t="s">
        <v>54</v>
      </c>
      <c r="B118" s="5"/>
      <c r="C118" s="70" t="s">
        <v>9</v>
      </c>
      <c r="D118" s="1078" t="s">
        <v>148</v>
      </c>
      <c r="E118" s="1293" t="s">
        <v>149</v>
      </c>
      <c r="F118" s="1078" t="s">
        <v>152</v>
      </c>
      <c r="G118" s="1218" t="s">
        <v>153</v>
      </c>
      <c r="H118" s="1107" t="s">
        <v>83</v>
      </c>
      <c r="I118" s="1157"/>
      <c r="J118" s="1044"/>
      <c r="K118" s="1044" t="s">
        <v>128</v>
      </c>
      <c r="L118" s="642"/>
      <c r="M118" s="1044" t="s">
        <v>86</v>
      </c>
      <c r="N118" s="1044" t="s">
        <v>122</v>
      </c>
      <c r="O118" s="1044" t="s">
        <v>280</v>
      </c>
      <c r="P118" s="1044" t="s">
        <v>281</v>
      </c>
      <c r="Q118" s="1296"/>
      <c r="R118" s="1044" t="s">
        <v>135</v>
      </c>
      <c r="S118" s="1044" t="s">
        <v>68</v>
      </c>
      <c r="T118" s="1044"/>
      <c r="U118" s="1041" t="s">
        <v>276</v>
      </c>
      <c r="V118" s="1142"/>
      <c r="W118" s="1123" t="s">
        <v>277</v>
      </c>
      <c r="X118" s="1044" t="s">
        <v>278</v>
      </c>
      <c r="Y118" s="1044" t="s">
        <v>70</v>
      </c>
      <c r="Z118" s="24"/>
      <c r="AA118" s="23"/>
      <c r="AB118" s="7"/>
    </row>
    <row r="119" spans="1:28">
      <c r="A119" s="196"/>
      <c r="B119" s="5"/>
      <c r="C119" s="70" t="s">
        <v>10</v>
      </c>
      <c r="D119" s="1079"/>
      <c r="E119" s="1294"/>
      <c r="F119" s="1079"/>
      <c r="G119" s="1219"/>
      <c r="H119" s="1160"/>
      <c r="I119" s="1158"/>
      <c r="J119" s="1045"/>
      <c r="K119" s="1045"/>
      <c r="L119" s="938"/>
      <c r="M119" s="1045"/>
      <c r="N119" s="1045"/>
      <c r="O119" s="1045"/>
      <c r="P119" s="1045"/>
      <c r="Q119" s="1297"/>
      <c r="R119" s="1045"/>
      <c r="S119" s="1045"/>
      <c r="T119" s="1045"/>
      <c r="U119" s="1042"/>
      <c r="V119" s="1143"/>
      <c r="W119" s="1124"/>
      <c r="X119" s="1045"/>
      <c r="Y119" s="1045"/>
      <c r="Z119" s="19" t="s">
        <v>6</v>
      </c>
      <c r="AA119" s="195" t="s">
        <v>4</v>
      </c>
      <c r="AB119" s="7"/>
    </row>
    <row r="120" spans="1:28" ht="87.75" customHeight="1">
      <c r="A120" s="202"/>
      <c r="B120" s="4"/>
      <c r="C120" s="71"/>
      <c r="D120" s="1080"/>
      <c r="E120" s="1295"/>
      <c r="F120" s="1080"/>
      <c r="G120" s="1220"/>
      <c r="H120" s="1161"/>
      <c r="I120" s="1159"/>
      <c r="J120" s="1046"/>
      <c r="K120" s="1046"/>
      <c r="L120" s="939" t="s">
        <v>131</v>
      </c>
      <c r="M120" s="1046"/>
      <c r="N120" s="1046"/>
      <c r="O120" s="1046"/>
      <c r="P120" s="1046"/>
      <c r="Q120" s="1298"/>
      <c r="R120" s="1046"/>
      <c r="S120" s="1046"/>
      <c r="T120" s="1046"/>
      <c r="U120" s="1043"/>
      <c r="V120" s="1144"/>
      <c r="W120" s="1125"/>
      <c r="X120" s="1046"/>
      <c r="Y120" s="1046"/>
      <c r="Z120" s="4" t="s">
        <v>7</v>
      </c>
      <c r="AA120" s="201" t="s">
        <v>5</v>
      </c>
      <c r="AB120" s="7"/>
    </row>
    <row r="121" spans="1:28" ht="9" customHeight="1">
      <c r="A121" s="64">
        <v>1</v>
      </c>
      <c r="B121" s="947">
        <v>2</v>
      </c>
      <c r="C121" s="72">
        <v>3</v>
      </c>
      <c r="D121" s="86">
        <v>4</v>
      </c>
      <c r="E121" s="80">
        <v>5</v>
      </c>
      <c r="F121" s="86">
        <v>6</v>
      </c>
      <c r="G121" s="943">
        <v>7</v>
      </c>
      <c r="H121" s="87">
        <v>8</v>
      </c>
      <c r="I121" s="80">
        <v>9</v>
      </c>
      <c r="J121" s="81">
        <v>10</v>
      </c>
      <c r="K121" s="96">
        <v>11</v>
      </c>
      <c r="L121" s="96">
        <v>12</v>
      </c>
      <c r="M121" s="81">
        <v>13</v>
      </c>
      <c r="N121" s="81">
        <v>14</v>
      </c>
      <c r="O121" s="81">
        <v>15</v>
      </c>
      <c r="P121" s="82">
        <v>16</v>
      </c>
      <c r="Q121" s="80">
        <v>17</v>
      </c>
      <c r="R121" s="96">
        <v>18</v>
      </c>
      <c r="S121" s="98">
        <v>19</v>
      </c>
      <c r="T121" s="98">
        <v>20</v>
      </c>
      <c r="U121" s="82">
        <v>21</v>
      </c>
      <c r="V121" s="96">
        <v>22</v>
      </c>
      <c r="W121" s="96">
        <v>23</v>
      </c>
      <c r="X121" s="81">
        <v>24</v>
      </c>
      <c r="Y121" s="96">
        <v>25</v>
      </c>
      <c r="Z121" s="35">
        <v>26</v>
      </c>
      <c r="AA121" s="942">
        <v>27</v>
      </c>
      <c r="AB121" s="7"/>
    </row>
    <row r="122" spans="1:28" ht="15.75">
      <c r="A122" s="16" t="s">
        <v>18</v>
      </c>
      <c r="B122" s="221">
        <v>100</v>
      </c>
      <c r="C122" s="73"/>
      <c r="D122" s="89">
        <f>F122</f>
        <v>100</v>
      </c>
      <c r="E122" s="99">
        <f>B122</f>
        <v>100</v>
      </c>
      <c r="F122" s="222">
        <v>100</v>
      </c>
      <c r="G122" s="99">
        <f>B122</f>
        <v>100</v>
      </c>
      <c r="H122" s="89">
        <f>F122</f>
        <v>100</v>
      </c>
      <c r="I122" s="99">
        <f>B122</f>
        <v>100</v>
      </c>
      <c r="J122" s="582"/>
      <c r="K122" s="99">
        <f>B122</f>
        <v>100</v>
      </c>
      <c r="L122" s="99">
        <f>B122</f>
        <v>100</v>
      </c>
      <c r="M122" s="99">
        <f>B122</f>
        <v>100</v>
      </c>
      <c r="N122" s="99">
        <f>B122</f>
        <v>100</v>
      </c>
      <c r="O122" s="582">
        <f>B122</f>
        <v>100</v>
      </c>
      <c r="P122" s="109">
        <f>F122</f>
        <v>100</v>
      </c>
      <c r="Q122" s="99">
        <f>B122</f>
        <v>100</v>
      </c>
      <c r="R122" s="99">
        <f>B122</f>
        <v>100</v>
      </c>
      <c r="S122" s="99">
        <f>B122</f>
        <v>100</v>
      </c>
      <c r="T122" s="160"/>
      <c r="U122" s="407">
        <f>F122</f>
        <v>100</v>
      </c>
      <c r="V122" s="99">
        <f>B122</f>
        <v>100</v>
      </c>
      <c r="W122" s="99">
        <f>B122</f>
        <v>100</v>
      </c>
      <c r="X122" s="99">
        <f>B122</f>
        <v>100</v>
      </c>
      <c r="Y122" s="99">
        <f>B122</f>
        <v>100</v>
      </c>
      <c r="Z122" s="12" t="s">
        <v>66</v>
      </c>
      <c r="AA122" s="68" t="s">
        <v>64</v>
      </c>
      <c r="AB122" s="7"/>
    </row>
    <row r="123" spans="1:28" ht="16.5" thickBot="1">
      <c r="A123" s="59" t="s">
        <v>19</v>
      </c>
      <c r="B123" s="60"/>
      <c r="C123" s="74"/>
      <c r="D123" s="304">
        <v>35</v>
      </c>
      <c r="E123" s="119">
        <f>D123*F122/B122</f>
        <v>35</v>
      </c>
      <c r="F123" s="91">
        <v>156</v>
      </c>
      <c r="G123" s="119">
        <f>F123*F122/B122</f>
        <v>156</v>
      </c>
      <c r="H123" s="91">
        <v>150</v>
      </c>
      <c r="I123" s="119">
        <f>H123*H122/B122</f>
        <v>150</v>
      </c>
      <c r="J123" s="643"/>
      <c r="K123" s="119">
        <f>K167/B122*1000</f>
        <v>10</v>
      </c>
      <c r="L123" s="119">
        <f>L185/B122*1000</f>
        <v>100</v>
      </c>
      <c r="M123" s="119">
        <v>30</v>
      </c>
      <c r="N123" s="100">
        <v>180</v>
      </c>
      <c r="O123" s="279">
        <v>100</v>
      </c>
      <c r="P123" s="511">
        <v>50</v>
      </c>
      <c r="Q123" s="119">
        <f>P123*F122/B122</f>
        <v>50</v>
      </c>
      <c r="R123" s="100">
        <v>150</v>
      </c>
      <c r="S123" s="119">
        <f>S169/B122*1000</f>
        <v>30</v>
      </c>
      <c r="T123" s="433"/>
      <c r="U123" s="408">
        <v>80</v>
      </c>
      <c r="V123" s="301">
        <f>U123*F122/B122</f>
        <v>80</v>
      </c>
      <c r="W123" s="301">
        <v>20</v>
      </c>
      <c r="X123" s="100">
        <v>150</v>
      </c>
      <c r="Y123" s="119">
        <f>Y171/B122*1000</f>
        <v>10</v>
      </c>
      <c r="Z123" s="61"/>
      <c r="AA123" s="69"/>
      <c r="AB123" s="7"/>
    </row>
    <row r="124" spans="1:28" ht="14.25" customHeight="1" thickTop="1">
      <c r="A124" s="133"/>
      <c r="B124" s="5" t="s">
        <v>65</v>
      </c>
      <c r="C124" s="77" t="s">
        <v>72</v>
      </c>
      <c r="D124" s="287"/>
      <c r="E124" s="88"/>
      <c r="F124" s="92"/>
      <c r="G124" s="88"/>
      <c r="H124" s="107"/>
      <c r="I124" s="88"/>
      <c r="J124" s="608"/>
      <c r="K124" s="88"/>
      <c r="L124" s="88"/>
      <c r="M124" s="88"/>
      <c r="N124" s="88"/>
      <c r="O124" s="566"/>
      <c r="P124" s="177">
        <f>119.6/50*P123</f>
        <v>119.6</v>
      </c>
      <c r="Q124" s="129">
        <f>P124/P123*Q123</f>
        <v>119.6</v>
      </c>
      <c r="R124" s="88"/>
      <c r="S124" s="88"/>
      <c r="T124" s="215"/>
      <c r="U124" s="263"/>
      <c r="V124" s="88"/>
      <c r="W124" s="88"/>
      <c r="X124" s="88"/>
      <c r="Y124" s="88"/>
      <c r="Z124" s="78"/>
      <c r="AA124" s="79"/>
      <c r="AB124" s="7"/>
    </row>
    <row r="125" spans="1:28" ht="16.5" thickBot="1">
      <c r="A125" s="346" t="str">
        <f>A28</f>
        <v>Цыплята бр.</v>
      </c>
      <c r="B125" s="347">
        <f>B28</f>
        <v>210</v>
      </c>
      <c r="C125" s="348" t="s">
        <v>73</v>
      </c>
      <c r="D125" s="385"/>
      <c r="E125" s="350"/>
      <c r="F125" s="363"/>
      <c r="G125" s="350"/>
      <c r="H125" s="349"/>
      <c r="I125" s="350"/>
      <c r="J125" s="569"/>
      <c r="K125" s="350"/>
      <c r="L125" s="350"/>
      <c r="M125" s="350"/>
      <c r="N125" s="350"/>
      <c r="O125" s="567"/>
      <c r="P125" s="377">
        <f>P124*P122/1000</f>
        <v>11.96</v>
      </c>
      <c r="Q125" s="365">
        <f>P125</f>
        <v>11.96</v>
      </c>
      <c r="R125" s="350"/>
      <c r="S125" s="350"/>
      <c r="T125" s="379"/>
      <c r="U125" s="360"/>
      <c r="V125" s="350"/>
      <c r="W125" s="350"/>
      <c r="X125" s="350"/>
      <c r="Y125" s="350"/>
      <c r="Z125" s="356">
        <f>ROUND(E125+G125+I125+K125+L125+M125+N125+O125+Q125+R125+S125+V125+W125+X125+Y125,3)</f>
        <v>11.96</v>
      </c>
      <c r="AA125" s="368">
        <f>Z125*B125</f>
        <v>2511.6000000000004</v>
      </c>
      <c r="AB125" s="7"/>
    </row>
    <row r="126" spans="1:28" ht="13.5" customHeight="1" thickTop="1">
      <c r="A126" s="133"/>
      <c r="B126" s="88"/>
      <c r="C126" s="77" t="s">
        <v>72</v>
      </c>
      <c r="D126" s="306">
        <v>5</v>
      </c>
      <c r="E126" s="129">
        <f>D126/D123*E123</f>
        <v>5</v>
      </c>
      <c r="F126" s="497">
        <v>3</v>
      </c>
      <c r="G126" s="129">
        <f>F126/F123*G123</f>
        <v>3</v>
      </c>
      <c r="H126" s="430"/>
      <c r="I126" s="129"/>
      <c r="J126" s="608"/>
      <c r="K126" s="88"/>
      <c r="L126" s="88"/>
      <c r="M126" s="88"/>
      <c r="N126" s="131">
        <v>4.8</v>
      </c>
      <c r="O126" s="131"/>
      <c r="P126" s="177"/>
      <c r="Q126" s="129">
        <f>P126/P123*Q123</f>
        <v>0</v>
      </c>
      <c r="R126" s="88"/>
      <c r="S126" s="88"/>
      <c r="T126" s="215"/>
      <c r="U126" s="428">
        <f>3.2/80*U123</f>
        <v>3.2</v>
      </c>
      <c r="V126" s="129">
        <f>U126/U123*V123</f>
        <v>3.2</v>
      </c>
      <c r="W126" s="131">
        <v>0.9</v>
      </c>
      <c r="X126" s="88"/>
      <c r="Y126" s="88"/>
      <c r="Z126" s="213"/>
      <c r="AA126" s="123"/>
      <c r="AB126" s="7"/>
    </row>
    <row r="127" spans="1:28" ht="16.5" thickBot="1">
      <c r="A127" s="346" t="str">
        <f>A30</f>
        <v>Масло слив.</v>
      </c>
      <c r="B127" s="347">
        <f>B30</f>
        <v>595</v>
      </c>
      <c r="C127" s="348" t="s">
        <v>73</v>
      </c>
      <c r="D127" s="490">
        <f>D126*F122/1000</f>
        <v>0.5</v>
      </c>
      <c r="E127" s="341">
        <f>D127</f>
        <v>0.5</v>
      </c>
      <c r="F127" s="363">
        <f>ROUND(F126*F122/1000,2)</f>
        <v>0.3</v>
      </c>
      <c r="G127" s="341">
        <f>ROUND(F127,2)</f>
        <v>0.3</v>
      </c>
      <c r="H127" s="363"/>
      <c r="I127" s="341"/>
      <c r="J127" s="569"/>
      <c r="K127" s="350"/>
      <c r="L127" s="350"/>
      <c r="M127" s="378"/>
      <c r="N127" s="341">
        <f>ROUND(N126*B122/1000,2)</f>
        <v>0.48</v>
      </c>
      <c r="O127" s="341">
        <f>ROUND(O126*B122/1000,2)</f>
        <v>0</v>
      </c>
      <c r="P127" s="349">
        <f>P126*P122/1000</f>
        <v>0</v>
      </c>
      <c r="Q127" s="422">
        <f>P127</f>
        <v>0</v>
      </c>
      <c r="R127" s="350"/>
      <c r="S127" s="350"/>
      <c r="T127" s="379"/>
      <c r="U127" s="364">
        <f>U126*F122/1000</f>
        <v>0.32</v>
      </c>
      <c r="V127" s="341">
        <f>U127</f>
        <v>0.32</v>
      </c>
      <c r="W127" s="341">
        <f>ROUND(W126*B122/1000,2)</f>
        <v>0.09</v>
      </c>
      <c r="X127" s="350"/>
      <c r="Y127" s="350"/>
      <c r="Z127" s="343">
        <f>ROUND(E127+G127+I127+K127+L127+M127+N127+O127+Q127+R127+S127+V127+W127+X127+Y127,2)</f>
        <v>1.69</v>
      </c>
      <c r="AA127" s="344">
        <f>Z127*B127</f>
        <v>1005.55</v>
      </c>
      <c r="AB127" s="7"/>
    </row>
    <row r="128" spans="1:28" ht="15" customHeight="1" thickTop="1">
      <c r="A128" s="133"/>
      <c r="B128" s="88"/>
      <c r="C128" s="77" t="s">
        <v>72</v>
      </c>
      <c r="D128" s="287"/>
      <c r="E128" s="88"/>
      <c r="F128" s="90"/>
      <c r="G128" s="88"/>
      <c r="H128" s="108"/>
      <c r="I128" s="88"/>
      <c r="J128" s="608"/>
      <c r="K128" s="88"/>
      <c r="L128" s="88"/>
      <c r="M128" s="131">
        <v>1.8</v>
      </c>
      <c r="N128" s="131"/>
      <c r="O128" s="131">
        <v>4.5</v>
      </c>
      <c r="P128" s="439"/>
      <c r="Q128" s="129"/>
      <c r="R128" s="88"/>
      <c r="S128" s="88"/>
      <c r="T128" s="215"/>
      <c r="U128" s="428"/>
      <c r="V128" s="129"/>
      <c r="W128" s="131"/>
      <c r="X128" s="88"/>
      <c r="Y128" s="88"/>
      <c r="Z128" s="214"/>
      <c r="AA128" s="123"/>
      <c r="AB128" s="7"/>
    </row>
    <row r="129" spans="1:28" ht="16.5" thickBot="1">
      <c r="A129" s="346" t="str">
        <f>A32</f>
        <v>Масло раст.</v>
      </c>
      <c r="B129" s="347">
        <f>B32</f>
        <v>104.42</v>
      </c>
      <c r="C129" s="348" t="s">
        <v>73</v>
      </c>
      <c r="D129" s="385"/>
      <c r="E129" s="350"/>
      <c r="F129" s="363"/>
      <c r="G129" s="350"/>
      <c r="H129" s="349"/>
      <c r="I129" s="350"/>
      <c r="J129" s="569"/>
      <c r="K129" s="350"/>
      <c r="L129" s="420"/>
      <c r="M129" s="341">
        <f>M128*B122/1000</f>
        <v>0.18</v>
      </c>
      <c r="N129" s="341">
        <f>N128*B122/1000</f>
        <v>0</v>
      </c>
      <c r="O129" s="341">
        <f>O128*B122/1000</f>
        <v>0.45</v>
      </c>
      <c r="P129" s="376"/>
      <c r="Q129" s="350"/>
      <c r="R129" s="420"/>
      <c r="S129" s="350"/>
      <c r="T129" s="379"/>
      <c r="U129" s="364"/>
      <c r="V129" s="350"/>
      <c r="W129" s="350"/>
      <c r="X129" s="350"/>
      <c r="Y129" s="350"/>
      <c r="Z129" s="343">
        <f>ROUND(E129+G129+I129+K129+L129+M129+N129+O129+Q129+R129+S129+V129+W129+X129+Y129,2)</f>
        <v>0.63</v>
      </c>
      <c r="AA129" s="344">
        <f>Z129*B129</f>
        <v>65.784599999999998</v>
      </c>
      <c r="AB129" s="7"/>
    </row>
    <row r="130" spans="1:28" ht="13.5" customHeight="1" thickTop="1">
      <c r="A130" s="133"/>
      <c r="B130" s="88"/>
      <c r="C130" s="77" t="s">
        <v>72</v>
      </c>
      <c r="D130" s="287"/>
      <c r="E130" s="88"/>
      <c r="F130" s="90">
        <v>135</v>
      </c>
      <c r="G130" s="129">
        <f>F130/F123*G123</f>
        <v>135</v>
      </c>
      <c r="H130" s="108">
        <v>92</v>
      </c>
      <c r="I130" s="113">
        <f>H130/H123*I123</f>
        <v>92</v>
      </c>
      <c r="J130" s="608"/>
      <c r="K130" s="113"/>
      <c r="L130" s="88"/>
      <c r="M130" s="88"/>
      <c r="N130" s="88"/>
      <c r="O130" s="566"/>
      <c r="P130" s="439"/>
      <c r="Q130" s="570"/>
      <c r="R130" s="88"/>
      <c r="S130" s="88"/>
      <c r="T130" s="215"/>
      <c r="U130" s="428"/>
      <c r="V130" s="129"/>
      <c r="W130" s="131">
        <v>10</v>
      </c>
      <c r="X130" s="131"/>
      <c r="Y130" s="88"/>
      <c r="Z130" s="214"/>
      <c r="AA130" s="123"/>
      <c r="AB130" s="7"/>
    </row>
    <row r="131" spans="1:28" ht="16.5" thickBot="1">
      <c r="A131" s="346" t="str">
        <f>A34</f>
        <v>Молоко св.</v>
      </c>
      <c r="B131" s="347">
        <f>B34</f>
        <v>67.8</v>
      </c>
      <c r="C131" s="348" t="s">
        <v>73</v>
      </c>
      <c r="D131" s="385"/>
      <c r="E131" s="350"/>
      <c r="F131" s="363">
        <f>F130*F122/1000</f>
        <v>13.5</v>
      </c>
      <c r="G131" s="365">
        <f>F131</f>
        <v>13.5</v>
      </c>
      <c r="H131" s="468">
        <f>H130*D122/1000</f>
        <v>9.1999999999999993</v>
      </c>
      <c r="I131" s="365">
        <f>H131</f>
        <v>9.1999999999999993</v>
      </c>
      <c r="J131" s="681"/>
      <c r="K131" s="350"/>
      <c r="L131" s="350"/>
      <c r="M131" s="350"/>
      <c r="N131" s="350"/>
      <c r="O131" s="569"/>
      <c r="P131" s="575"/>
      <c r="Q131" s="350"/>
      <c r="R131" s="350"/>
      <c r="S131" s="350"/>
      <c r="T131" s="379"/>
      <c r="U131" s="364"/>
      <c r="V131" s="350"/>
      <c r="W131" s="365">
        <f>W130*B122/1000</f>
        <v>1</v>
      </c>
      <c r="X131" s="341"/>
      <c r="Y131" s="350"/>
      <c r="Z131" s="356">
        <f>ROUND(E131+G131+I131+K131+L131+M131+N131+O131+Q131+R131+S131+V131+W131+X131+Y131,2)</f>
        <v>23.7</v>
      </c>
      <c r="AA131" s="344">
        <f>Z131*B131</f>
        <v>1606.86</v>
      </c>
      <c r="AB131" s="7"/>
    </row>
    <row r="132" spans="1:28" ht="15" customHeight="1" thickTop="1">
      <c r="A132" s="133"/>
      <c r="B132" s="88"/>
      <c r="C132" s="77" t="s">
        <v>72</v>
      </c>
      <c r="D132" s="287"/>
      <c r="E132" s="88"/>
      <c r="F132" s="497">
        <v>23.1</v>
      </c>
      <c r="G132" s="129">
        <f>F132/F123*G123</f>
        <v>23.1</v>
      </c>
      <c r="H132" s="108"/>
      <c r="I132" s="88"/>
      <c r="J132" s="608"/>
      <c r="K132" s="88"/>
      <c r="L132" s="88"/>
      <c r="M132" s="88"/>
      <c r="N132" s="88"/>
      <c r="O132" s="280"/>
      <c r="P132" s="959"/>
      <c r="Q132" s="88"/>
      <c r="R132" s="88"/>
      <c r="S132" s="609"/>
      <c r="T132" s="635"/>
      <c r="U132" s="428"/>
      <c r="V132" s="129"/>
      <c r="W132" s="129"/>
      <c r="X132" s="88"/>
      <c r="Y132" s="88"/>
      <c r="Z132" s="214"/>
      <c r="AA132" s="123"/>
      <c r="AB132" s="7"/>
    </row>
    <row r="133" spans="1:28" ht="16.5" thickBot="1">
      <c r="A133" s="346" t="str">
        <f>A36</f>
        <v>Геркулес</v>
      </c>
      <c r="B133" s="347">
        <f>B36</f>
        <v>40.78</v>
      </c>
      <c r="C133" s="348" t="s">
        <v>73</v>
      </c>
      <c r="D133" s="385"/>
      <c r="E133" s="350"/>
      <c r="F133" s="363">
        <f>F132*F122/1000</f>
        <v>2.31</v>
      </c>
      <c r="G133" s="341">
        <f>F133</f>
        <v>2.31</v>
      </c>
      <c r="H133" s="349"/>
      <c r="I133" s="350"/>
      <c r="J133" s="569"/>
      <c r="K133" s="350"/>
      <c r="L133" s="350"/>
      <c r="M133" s="350"/>
      <c r="N133" s="350"/>
      <c r="O133" s="420"/>
      <c r="P133" s="361"/>
      <c r="Q133" s="350"/>
      <c r="R133" s="350"/>
      <c r="S133" s="420"/>
      <c r="T133" s="398"/>
      <c r="U133" s="364"/>
      <c r="V133" s="350"/>
      <c r="W133" s="341"/>
      <c r="X133" s="350"/>
      <c r="Y133" s="350"/>
      <c r="Z133" s="343">
        <f>ROUND(E133+G133+I133+K133+L133+M133+N133+O133+Q133+R133+S133+V133+W133+X133+Y133,2)</f>
        <v>2.31</v>
      </c>
      <c r="AA133" s="344">
        <f>Z133*B133</f>
        <v>94.201800000000006</v>
      </c>
      <c r="AB133" s="7"/>
    </row>
    <row r="134" spans="1:28" ht="15" customHeight="1" thickTop="1">
      <c r="A134" s="133"/>
      <c r="B134" s="88"/>
      <c r="C134" s="77" t="s">
        <v>72</v>
      </c>
      <c r="D134" s="287"/>
      <c r="E134" s="88"/>
      <c r="F134" s="497"/>
      <c r="G134" s="129"/>
      <c r="H134" s="108"/>
      <c r="I134" s="88"/>
      <c r="J134" s="608"/>
      <c r="K134" s="88"/>
      <c r="L134" s="88"/>
      <c r="M134" s="88"/>
      <c r="N134" s="129">
        <v>3.6</v>
      </c>
      <c r="O134" s="281"/>
      <c r="P134" s="555"/>
      <c r="Q134" s="131"/>
      <c r="R134" s="88"/>
      <c r="S134" s="88"/>
      <c r="T134" s="215"/>
      <c r="U134" s="430">
        <f>4/80*U123</f>
        <v>4</v>
      </c>
      <c r="V134" s="129">
        <f>U134/U123*V123</f>
        <v>4</v>
      </c>
      <c r="W134" s="129"/>
      <c r="X134" s="88"/>
      <c r="Y134" s="88"/>
      <c r="Z134" s="214"/>
      <c r="AA134" s="123"/>
      <c r="AB134" s="7"/>
    </row>
    <row r="135" spans="1:28" ht="16.5" thickBot="1">
      <c r="A135" s="346" t="str">
        <f>A38</f>
        <v>Яйцо</v>
      </c>
      <c r="B135" s="347">
        <f>B38</f>
        <v>10</v>
      </c>
      <c r="C135" s="348" t="s">
        <v>74</v>
      </c>
      <c r="D135" s="385"/>
      <c r="E135" s="350"/>
      <c r="F135" s="530"/>
      <c r="G135" s="386"/>
      <c r="H135" s="349"/>
      <c r="I135" s="350"/>
      <c r="J135" s="569"/>
      <c r="K135" s="350"/>
      <c r="L135" s="350"/>
      <c r="M135" s="350"/>
      <c r="N135" s="470">
        <f>ROUND(N134*B122/48,0)</f>
        <v>8</v>
      </c>
      <c r="O135" s="372"/>
      <c r="P135" s="556"/>
      <c r="Q135" s="350"/>
      <c r="R135" s="350"/>
      <c r="S135" s="350"/>
      <c r="T135" s="623"/>
      <c r="U135" s="530">
        <f>ROUND(U134*U122/48,0)</f>
        <v>8</v>
      </c>
      <c r="V135" s="470">
        <f>U135</f>
        <v>8</v>
      </c>
      <c r="W135" s="470"/>
      <c r="X135" s="350"/>
      <c r="Y135" s="350"/>
      <c r="Z135" s="472">
        <f>ROUND(E135+G135+I135+K135+L135+M135+N135+O135+Q135+R135+S135+T135+V135+W135+X135+Y135,0)</f>
        <v>16</v>
      </c>
      <c r="AA135" s="344">
        <f>Z135*B135</f>
        <v>160</v>
      </c>
      <c r="AB135" s="7"/>
    </row>
    <row r="136" spans="1:28" ht="13.5" customHeight="1" thickTop="1">
      <c r="A136" s="133"/>
      <c r="B136" s="88"/>
      <c r="C136" s="77" t="s">
        <v>72</v>
      </c>
      <c r="D136" s="287"/>
      <c r="E136" s="88"/>
      <c r="F136" s="90"/>
      <c r="G136" s="113"/>
      <c r="H136" s="108"/>
      <c r="I136" s="88"/>
      <c r="J136" s="608"/>
      <c r="K136" s="88"/>
      <c r="L136" s="409"/>
      <c r="M136" s="88"/>
      <c r="N136" s="131"/>
      <c r="O136" s="281"/>
      <c r="P136" s="555"/>
      <c r="Q136" s="113"/>
      <c r="R136" s="282"/>
      <c r="S136" s="88"/>
      <c r="T136" s="215"/>
      <c r="U136" s="428">
        <f>6.4/80*U123</f>
        <v>6.4</v>
      </c>
      <c r="V136" s="129">
        <f>U136/U123*V123</f>
        <v>6.4</v>
      </c>
      <c r="W136" s="131"/>
      <c r="X136" s="88"/>
      <c r="Y136" s="88"/>
      <c r="Z136" s="214"/>
      <c r="AA136" s="123"/>
      <c r="AB136" s="7"/>
    </row>
    <row r="137" spans="1:28" ht="21.75" customHeight="1" thickBot="1">
      <c r="A137" s="346" t="str">
        <f>A40</f>
        <v>Манная кр.</v>
      </c>
      <c r="B137" s="347">
        <f>B40</f>
        <v>37.53</v>
      </c>
      <c r="C137" s="348" t="s">
        <v>73</v>
      </c>
      <c r="D137" s="385"/>
      <c r="E137" s="350"/>
      <c r="F137" s="363"/>
      <c r="G137" s="350"/>
      <c r="H137" s="349"/>
      <c r="I137" s="350"/>
      <c r="J137" s="569"/>
      <c r="K137" s="350"/>
      <c r="L137" s="342"/>
      <c r="M137" s="350"/>
      <c r="N137" s="350"/>
      <c r="O137" s="420"/>
      <c r="P137" s="556"/>
      <c r="Q137" s="350"/>
      <c r="R137" s="350"/>
      <c r="S137" s="350"/>
      <c r="T137" s="379"/>
      <c r="U137" s="364">
        <f>U136*F122/1000</f>
        <v>0.64</v>
      </c>
      <c r="V137" s="341">
        <f>U137</f>
        <v>0.64</v>
      </c>
      <c r="W137" s="350"/>
      <c r="X137" s="350"/>
      <c r="Y137" s="350"/>
      <c r="Z137" s="343">
        <f>ROUND(E137+G137+I137+K137+L137+M137+N137+O137+Q137+R137+S137+V137+W137+X137+Y137,2)</f>
        <v>0.64</v>
      </c>
      <c r="AA137" s="344">
        <f>Z137*B137</f>
        <v>24.019200000000001</v>
      </c>
      <c r="AB137" s="7"/>
    </row>
    <row r="138" spans="1:28" ht="15" customHeight="1" thickTop="1">
      <c r="A138" s="133"/>
      <c r="B138" s="88"/>
      <c r="C138" s="77" t="s">
        <v>72</v>
      </c>
      <c r="D138" s="287"/>
      <c r="E138" s="88"/>
      <c r="F138" s="90"/>
      <c r="G138" s="113"/>
      <c r="H138" s="108"/>
      <c r="I138" s="88"/>
      <c r="J138" s="608"/>
      <c r="K138" s="88"/>
      <c r="L138" s="88"/>
      <c r="M138" s="131"/>
      <c r="N138" s="583"/>
      <c r="O138" s="131">
        <v>35</v>
      </c>
      <c r="P138" s="439"/>
      <c r="Q138" s="129"/>
      <c r="R138" s="88"/>
      <c r="S138" s="88"/>
      <c r="T138" s="215"/>
      <c r="U138" s="428"/>
      <c r="V138" s="113"/>
      <c r="W138" s="113"/>
      <c r="X138" s="88"/>
      <c r="Y138" s="88"/>
      <c r="Z138" s="213"/>
      <c r="AA138" s="123"/>
      <c r="AB138" s="7"/>
    </row>
    <row r="139" spans="1:28" ht="16.5" customHeight="1" thickBot="1">
      <c r="A139" s="346" t="str">
        <f>A42</f>
        <v>Рис</v>
      </c>
      <c r="B139" s="347">
        <f>B42</f>
        <v>81.92</v>
      </c>
      <c r="C139" s="348" t="s">
        <v>73</v>
      </c>
      <c r="D139" s="385"/>
      <c r="E139" s="350"/>
      <c r="F139" s="363"/>
      <c r="G139" s="350"/>
      <c r="H139" s="349"/>
      <c r="I139" s="350"/>
      <c r="J139" s="569"/>
      <c r="K139" s="350"/>
      <c r="L139" s="350"/>
      <c r="M139" s="350"/>
      <c r="N139" s="341"/>
      <c r="O139" s="341">
        <f>O138*B122/1000</f>
        <v>3.5</v>
      </c>
      <c r="P139" s="575"/>
      <c r="Q139" s="350"/>
      <c r="R139" s="350"/>
      <c r="S139" s="350"/>
      <c r="T139" s="379"/>
      <c r="U139" s="364"/>
      <c r="V139" s="350"/>
      <c r="W139" s="341"/>
      <c r="X139" s="350"/>
      <c r="Y139" s="350"/>
      <c r="Z139" s="343">
        <f>ROUND(E139+G139+I139+K139+L139+M139+N139+O139+Q139+R139+S139+V139+W139+X139+Y139,2)</f>
        <v>3.5</v>
      </c>
      <c r="AA139" s="344">
        <f>Z139*B139</f>
        <v>286.72000000000003</v>
      </c>
      <c r="AB139" s="7"/>
    </row>
    <row r="140" spans="1:28" ht="12.75" customHeight="1" thickTop="1">
      <c r="A140" s="133"/>
      <c r="B140" s="88"/>
      <c r="C140" s="77" t="s">
        <v>72</v>
      </c>
      <c r="D140" s="287"/>
      <c r="E140" s="88"/>
      <c r="F140" s="497"/>
      <c r="G140" s="129"/>
      <c r="H140" s="108"/>
      <c r="I140" s="88"/>
      <c r="J140" s="608"/>
      <c r="K140" s="88"/>
      <c r="L140" s="88"/>
      <c r="M140" s="88"/>
      <c r="N140" s="583">
        <v>13.5</v>
      </c>
      <c r="O140" s="280"/>
      <c r="P140" s="177"/>
      <c r="Q140" s="129"/>
      <c r="R140" s="88"/>
      <c r="S140" s="88"/>
      <c r="T140" s="215"/>
      <c r="U140" s="428">
        <f>3.2/80*U123</f>
        <v>3.2</v>
      </c>
      <c r="V140" s="129">
        <f>U140/U123*V123</f>
        <v>3.2</v>
      </c>
      <c r="W140" s="131">
        <v>0.9</v>
      </c>
      <c r="X140" s="88"/>
      <c r="Y140" s="88"/>
      <c r="Z140" s="214"/>
      <c r="AA140" s="123"/>
      <c r="AB140" s="7"/>
    </row>
    <row r="141" spans="1:28" ht="16.5" thickBot="1">
      <c r="A141" s="346" t="str">
        <f>A44</f>
        <v>Мука пшен.</v>
      </c>
      <c r="B141" s="347">
        <f>B44</f>
        <v>29.08</v>
      </c>
      <c r="C141" s="348" t="s">
        <v>73</v>
      </c>
      <c r="D141" s="385"/>
      <c r="E141" s="350"/>
      <c r="F141" s="363"/>
      <c r="G141" s="350"/>
      <c r="H141" s="349"/>
      <c r="I141" s="350"/>
      <c r="J141" s="569"/>
      <c r="K141" s="350"/>
      <c r="L141" s="350"/>
      <c r="M141" s="350"/>
      <c r="N141" s="341">
        <f>N140*B122/1000</f>
        <v>1.35</v>
      </c>
      <c r="O141" s="420"/>
      <c r="P141" s="349"/>
      <c r="Q141" s="422"/>
      <c r="R141" s="350"/>
      <c r="S141" s="350"/>
      <c r="T141" s="379"/>
      <c r="U141" s="364">
        <f>U140*F122/1000</f>
        <v>0.32</v>
      </c>
      <c r="V141" s="341">
        <f>U141</f>
        <v>0.32</v>
      </c>
      <c r="W141" s="341">
        <f>W140*B122/1000</f>
        <v>0.09</v>
      </c>
      <c r="X141" s="350"/>
      <c r="Y141" s="350"/>
      <c r="Z141" s="343">
        <f>ROUND(E141+G141+I141+K141+L141+M141+N141+O141+Q141+R141+S141+V141+W141+X141+Y141,2)</f>
        <v>1.76</v>
      </c>
      <c r="AA141" s="344">
        <f>Z141*B141</f>
        <v>51.180799999999998</v>
      </c>
      <c r="AB141" s="7"/>
    </row>
    <row r="142" spans="1:28" ht="15" customHeight="1" thickTop="1">
      <c r="A142" s="133"/>
      <c r="B142" s="88"/>
      <c r="C142" s="77" t="s">
        <v>72</v>
      </c>
      <c r="D142" s="287"/>
      <c r="E142" s="88"/>
      <c r="F142" s="497">
        <v>3</v>
      </c>
      <c r="G142" s="129">
        <f>F142/F123*G123</f>
        <v>3</v>
      </c>
      <c r="H142" s="108">
        <v>6</v>
      </c>
      <c r="I142" s="129">
        <f>H142/H123*I123</f>
        <v>6</v>
      </c>
      <c r="J142" s="608"/>
      <c r="K142" s="129"/>
      <c r="L142" s="88"/>
      <c r="M142" s="131"/>
      <c r="N142" s="131"/>
      <c r="O142" s="281"/>
      <c r="P142" s="555"/>
      <c r="Q142" s="129"/>
      <c r="R142" s="131">
        <v>8</v>
      </c>
      <c r="S142" s="88"/>
      <c r="T142" s="215"/>
      <c r="U142" s="428">
        <f>5/80*U123</f>
        <v>5</v>
      </c>
      <c r="V142" s="129">
        <f>U142/U123*V123</f>
        <v>5</v>
      </c>
      <c r="W142" s="131">
        <v>1.6</v>
      </c>
      <c r="X142" s="131">
        <v>6</v>
      </c>
      <c r="Y142" s="88"/>
      <c r="Z142" s="214"/>
      <c r="AA142" s="123"/>
      <c r="AB142" s="7"/>
    </row>
    <row r="143" spans="1:28" ht="16.5" thickBot="1">
      <c r="A143" s="346" t="str">
        <f>A46</f>
        <v>Сахар</v>
      </c>
      <c r="B143" s="347">
        <f>B46</f>
        <v>62.77</v>
      </c>
      <c r="C143" s="348" t="s">
        <v>73</v>
      </c>
      <c r="D143" s="385"/>
      <c r="E143" s="350"/>
      <c r="F143" s="363">
        <f>F142*F122/1000</f>
        <v>0.3</v>
      </c>
      <c r="G143" s="341">
        <f>ROUND(F143,2)</f>
        <v>0.3</v>
      </c>
      <c r="H143" s="349">
        <f>H142*D122/1000</f>
        <v>0.6</v>
      </c>
      <c r="I143" s="341">
        <f>ROUND(H143,2)</f>
        <v>0.6</v>
      </c>
      <c r="J143" s="569"/>
      <c r="K143" s="341"/>
      <c r="L143" s="350"/>
      <c r="M143" s="350"/>
      <c r="N143" s="350"/>
      <c r="O143" s="420"/>
      <c r="P143" s="556"/>
      <c r="Q143" s="350"/>
      <c r="R143" s="341">
        <f>ROUND(R142*B122/1000,2)</f>
        <v>0.8</v>
      </c>
      <c r="S143" s="350"/>
      <c r="T143" s="379"/>
      <c r="U143" s="364">
        <f>U142*F122/1000</f>
        <v>0.5</v>
      </c>
      <c r="V143" s="341">
        <f>U143</f>
        <v>0.5</v>
      </c>
      <c r="W143" s="341">
        <f>W142*B122/1000</f>
        <v>0.16</v>
      </c>
      <c r="X143" s="341">
        <f>X142*B122/1000</f>
        <v>0.6</v>
      </c>
      <c r="Y143" s="350"/>
      <c r="Z143" s="343">
        <f>ROUND(E143+G143+I143+K143+L143+M143+N143+O143+Q143+R143+S143+V143+W143+X143+Y143,2)</f>
        <v>2.96</v>
      </c>
      <c r="AA143" s="344">
        <f>Z143*B143</f>
        <v>185.79920000000001</v>
      </c>
      <c r="AB143" s="7"/>
    </row>
    <row r="144" spans="1:28" ht="15" customHeight="1" thickTop="1">
      <c r="A144" s="133"/>
      <c r="B144" s="88"/>
      <c r="C144" s="77" t="s">
        <v>72</v>
      </c>
      <c r="D144" s="287"/>
      <c r="E144" s="88"/>
      <c r="F144" s="497"/>
      <c r="G144" s="113"/>
      <c r="H144" s="108"/>
      <c r="I144" s="88"/>
      <c r="J144" s="608"/>
      <c r="K144" s="88"/>
      <c r="L144" s="88"/>
      <c r="M144" s="129"/>
      <c r="N144" s="88"/>
      <c r="O144" s="282"/>
      <c r="P144" s="177"/>
      <c r="Q144" s="129"/>
      <c r="R144" s="131"/>
      <c r="S144" s="88"/>
      <c r="T144" s="215"/>
      <c r="U144" s="428">
        <f>3.2/80*U123</f>
        <v>3.2</v>
      </c>
      <c r="V144" s="129">
        <f>U144/U123*V123</f>
        <v>3.2</v>
      </c>
      <c r="W144" s="131"/>
      <c r="X144" s="88"/>
      <c r="Y144" s="88"/>
      <c r="Z144" s="214"/>
      <c r="AA144" s="123"/>
      <c r="AB144" s="7"/>
    </row>
    <row r="145" spans="1:31" ht="16.5" thickBot="1">
      <c r="A145" s="346" t="str">
        <f>A48</f>
        <v>Сметана</v>
      </c>
      <c r="B145" s="347">
        <f>B48</f>
        <v>227</v>
      </c>
      <c r="C145" s="348" t="s">
        <v>73</v>
      </c>
      <c r="D145" s="385"/>
      <c r="E145" s="350"/>
      <c r="F145" s="363"/>
      <c r="G145" s="350"/>
      <c r="H145" s="349"/>
      <c r="I145" s="350"/>
      <c r="J145" s="569"/>
      <c r="K145" s="350"/>
      <c r="L145" s="350"/>
      <c r="M145" s="341"/>
      <c r="N145" s="341"/>
      <c r="O145" s="372"/>
      <c r="P145" s="349"/>
      <c r="Q145" s="422"/>
      <c r="R145" s="350"/>
      <c r="S145" s="350"/>
      <c r="T145" s="379"/>
      <c r="U145" s="364">
        <f>U144*F122/1000</f>
        <v>0.32</v>
      </c>
      <c r="V145" s="341">
        <f>U145</f>
        <v>0.32</v>
      </c>
      <c r="W145" s="341"/>
      <c r="X145" s="350"/>
      <c r="Y145" s="350"/>
      <c r="Z145" s="343">
        <f>ROUND(E145+G145+I145+K145+L145+M145+N145+O145+Q145+R145+S145+V145+W145+X145+Y145,2)</f>
        <v>0.32</v>
      </c>
      <c r="AA145" s="344">
        <f>Z145*B145</f>
        <v>72.64</v>
      </c>
      <c r="AB145" s="7"/>
    </row>
    <row r="146" spans="1:31" ht="15" customHeight="1" thickTop="1">
      <c r="A146" s="133"/>
      <c r="B146" s="88"/>
      <c r="C146" s="77" t="s">
        <v>72</v>
      </c>
      <c r="D146" s="287"/>
      <c r="E146" s="104"/>
      <c r="F146" s="103"/>
      <c r="G146" s="104"/>
      <c r="H146" s="108"/>
      <c r="I146" s="104"/>
      <c r="J146" s="608"/>
      <c r="K146" s="104"/>
      <c r="L146" s="137"/>
      <c r="M146" s="104"/>
      <c r="N146" s="104"/>
      <c r="O146" s="283"/>
      <c r="P146" s="557"/>
      <c r="Q146" s="104"/>
      <c r="R146" s="88">
        <v>34</v>
      </c>
      <c r="S146" s="104"/>
      <c r="T146" s="636"/>
      <c r="U146" s="265"/>
      <c r="V146" s="104"/>
      <c r="W146" s="104"/>
      <c r="X146" s="104"/>
      <c r="Y146" s="104"/>
      <c r="Z146" s="214"/>
      <c r="AA146" s="123"/>
      <c r="AB146" s="7"/>
    </row>
    <row r="147" spans="1:31" ht="19.5" customHeight="1" thickBot="1">
      <c r="A147" s="346" t="str">
        <f>A50</f>
        <v>Яблоки св.</v>
      </c>
      <c r="B147" s="347">
        <f>B50</f>
        <v>100</v>
      </c>
      <c r="C147" s="348" t="s">
        <v>73</v>
      </c>
      <c r="D147" s="385"/>
      <c r="E147" s="350"/>
      <c r="F147" s="363"/>
      <c r="G147" s="350"/>
      <c r="H147" s="349"/>
      <c r="I147" s="350"/>
      <c r="J147" s="569"/>
      <c r="K147" s="350"/>
      <c r="L147" s="341"/>
      <c r="M147" s="350"/>
      <c r="N147" s="350"/>
      <c r="O147" s="420"/>
      <c r="P147" s="556"/>
      <c r="Q147" s="350"/>
      <c r="R147" s="341">
        <f>R146*B122/1000</f>
        <v>3.4</v>
      </c>
      <c r="S147" s="350"/>
      <c r="T147" s="379"/>
      <c r="U147" s="360"/>
      <c r="V147" s="350"/>
      <c r="W147" s="350"/>
      <c r="X147" s="350"/>
      <c r="Y147" s="350"/>
      <c r="Z147" s="343">
        <f>ROUND(E147+G147+I147+K147+L147+M147+N147+O147+Q147+R147+S147+V147+W147+X147+Y147,2)</f>
        <v>3.4</v>
      </c>
      <c r="AA147" s="344">
        <f>Z147*B147</f>
        <v>340</v>
      </c>
      <c r="AB147" s="7"/>
    </row>
    <row r="148" spans="1:3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18" t="s">
        <v>71</v>
      </c>
      <c r="AC148" s="227"/>
    </row>
    <row r="149" spans="1:31" ht="13.5" thickBot="1">
      <c r="A149" s="26" t="s">
        <v>53</v>
      </c>
      <c r="B149" s="944"/>
      <c r="C149" s="940"/>
      <c r="D149" s="940"/>
      <c r="E149" s="14"/>
      <c r="F149" s="14"/>
      <c r="G149" s="14"/>
      <c r="H149" s="14"/>
      <c r="I149" s="14"/>
      <c r="J149" s="14"/>
      <c r="K149" s="14"/>
      <c r="L149" s="14"/>
      <c r="M149" s="14"/>
      <c r="N149" s="28" t="s">
        <v>41</v>
      </c>
      <c r="O149" s="28"/>
      <c r="P149" s="14"/>
      <c r="Q149" s="14"/>
      <c r="R149" s="28" t="s">
        <v>11</v>
      </c>
      <c r="S149" s="28"/>
      <c r="T149" s="29"/>
      <c r="U149" s="14"/>
      <c r="V149" s="14"/>
      <c r="W149" s="14"/>
      <c r="X149" s="14"/>
      <c r="Y149" s="22"/>
      <c r="Z149" s="1047" t="s">
        <v>8</v>
      </c>
      <c r="AA149" s="1048"/>
      <c r="AB149" s="7"/>
      <c r="AC149" s="228"/>
      <c r="AD149" s="7"/>
      <c r="AE149" s="7"/>
    </row>
    <row r="150" spans="1:31">
      <c r="A150" s="944"/>
      <c r="B150" s="19"/>
      <c r="C150" s="70" t="s">
        <v>52</v>
      </c>
      <c r="D150" s="940"/>
      <c r="E150" s="1052" t="str">
        <f>E116</f>
        <v>З А В Т Р А К</v>
      </c>
      <c r="F150" s="1052"/>
      <c r="G150" s="1052"/>
      <c r="H150" s="1052"/>
      <c r="I150" s="1052"/>
      <c r="J150" s="1052"/>
      <c r="K150" s="1087"/>
      <c r="L150" s="853" t="s">
        <v>69</v>
      </c>
      <c r="M150" s="1052" t="s">
        <v>16</v>
      </c>
      <c r="N150" s="1052"/>
      <c r="O150" s="1052"/>
      <c r="P150" s="1052"/>
      <c r="Q150" s="1052"/>
      <c r="R150" s="1052"/>
      <c r="S150" s="1052"/>
      <c r="T150" s="955"/>
      <c r="U150" s="1139" t="str">
        <f>U116</f>
        <v>П О Л Д Н И К</v>
      </c>
      <c r="V150" s="1052"/>
      <c r="W150" s="1052"/>
      <c r="X150" s="1052"/>
      <c r="Y150" s="1087"/>
      <c r="Z150" s="1059" t="s">
        <v>3</v>
      </c>
      <c r="AA150" s="1059"/>
      <c r="AB150" s="7"/>
      <c r="AC150" s="228"/>
      <c r="AD150" s="7"/>
      <c r="AE150" s="7"/>
    </row>
    <row r="151" spans="1:31" ht="13.5" thickBot="1">
      <c r="A151" s="937"/>
      <c r="B151" s="5"/>
      <c r="C151" s="70" t="s">
        <v>51</v>
      </c>
      <c r="D151" s="945"/>
      <c r="E151" s="1054"/>
      <c r="F151" s="1054"/>
      <c r="G151" s="1054"/>
      <c r="H151" s="1054"/>
      <c r="I151" s="1054"/>
      <c r="J151" s="1054"/>
      <c r="K151" s="1086"/>
      <c r="L151" s="854"/>
      <c r="M151" s="1054"/>
      <c r="N151" s="1054"/>
      <c r="O151" s="1054"/>
      <c r="P151" s="1054"/>
      <c r="Q151" s="1054"/>
      <c r="R151" s="1054"/>
      <c r="S151" s="1054"/>
      <c r="T151" s="956"/>
      <c r="U151" s="1140"/>
      <c r="V151" s="1054"/>
      <c r="W151" s="1054"/>
      <c r="X151" s="1054"/>
      <c r="Y151" s="1086"/>
      <c r="Z151" s="1048" t="s">
        <v>36</v>
      </c>
      <c r="AA151" s="1048"/>
      <c r="AB151" s="8"/>
      <c r="AC151" s="228"/>
      <c r="AD151" s="7"/>
      <c r="AE151" s="7"/>
    </row>
    <row r="152" spans="1:31" ht="12.75" customHeight="1">
      <c r="A152" s="937" t="s">
        <v>54</v>
      </c>
      <c r="B152" s="5" t="s">
        <v>65</v>
      </c>
      <c r="C152" s="5" t="s">
        <v>9</v>
      </c>
      <c r="D152" s="1078" t="str">
        <f>D118</f>
        <v>Бут. с сыром и масл. сл.</v>
      </c>
      <c r="E152" s="1038" t="str">
        <f>E118</f>
        <v>10./5./ 20</v>
      </c>
      <c r="F152" s="1035" t="str">
        <f>F118</f>
        <v>Каша геркул. с масл. сл.</v>
      </c>
      <c r="G152" s="1038"/>
      <c r="H152" s="1041" t="str">
        <f>H118</f>
        <v>Чай с молоком</v>
      </c>
      <c r="I152" s="1044"/>
      <c r="J152" s="1044">
        <f t="shared" ref="J152:K152" si="2">J118</f>
        <v>0</v>
      </c>
      <c r="K152" s="1038" t="str">
        <f t="shared" si="2"/>
        <v>Батон порц.</v>
      </c>
      <c r="L152" s="1038" t="str">
        <f>L120</f>
        <v>Фрукты порц.</v>
      </c>
      <c r="M152" s="1044" t="str">
        <f t="shared" ref="M152:P152" si="3">M118</f>
        <v>Винегрет</v>
      </c>
      <c r="N152" s="1044" t="str">
        <f t="shared" si="3"/>
        <v>Суп-лапша дом.</v>
      </c>
      <c r="O152" s="1044" t="str">
        <f t="shared" si="3"/>
        <v xml:space="preserve">Плов </v>
      </c>
      <c r="P152" s="1041" t="str">
        <f t="shared" si="3"/>
        <v>Мясо цыпл. бр.  в плов</v>
      </c>
      <c r="Q152" s="1096"/>
      <c r="R152" s="1041" t="str">
        <f t="shared" ref="R152:Y152" si="4">R118</f>
        <v>Компот из св. яблок</v>
      </c>
      <c r="S152" s="1041" t="str">
        <f t="shared" si="4"/>
        <v>Хлеб ржано-пшеничный</v>
      </c>
      <c r="T152" s="1042">
        <f t="shared" si="4"/>
        <v>0</v>
      </c>
      <c r="U152" s="1078" t="str">
        <f t="shared" si="4"/>
        <v>Пудинг из творога</v>
      </c>
      <c r="V152" s="1123">
        <f t="shared" si="4"/>
        <v>0</v>
      </c>
      <c r="W152" s="1044" t="str">
        <f t="shared" si="4"/>
        <v>с соусом смолочным</v>
      </c>
      <c r="X152" s="1044" t="str">
        <f t="shared" si="4"/>
        <v>Кисель из конц.</v>
      </c>
      <c r="Y152" s="1038" t="str">
        <f t="shared" si="4"/>
        <v>Хлеб йодирован. пшен.</v>
      </c>
      <c r="Z152" s="24"/>
      <c r="AA152" s="946"/>
      <c r="AB152" s="7"/>
      <c r="AC152" s="228"/>
      <c r="AD152" s="7"/>
      <c r="AE152" s="7"/>
    </row>
    <row r="153" spans="1:31">
      <c r="A153" s="937"/>
      <c r="B153" s="5"/>
      <c r="C153" s="5" t="s">
        <v>10</v>
      </c>
      <c r="D153" s="1079"/>
      <c r="E153" s="1039"/>
      <c r="F153" s="1036"/>
      <c r="G153" s="1039"/>
      <c r="H153" s="1042"/>
      <c r="I153" s="1045"/>
      <c r="J153" s="1045"/>
      <c r="K153" s="1039"/>
      <c r="L153" s="1039"/>
      <c r="M153" s="1045"/>
      <c r="N153" s="1045"/>
      <c r="O153" s="1045"/>
      <c r="P153" s="1042"/>
      <c r="Q153" s="1098"/>
      <c r="R153" s="1042"/>
      <c r="S153" s="1042"/>
      <c r="T153" s="1042"/>
      <c r="U153" s="1262"/>
      <c r="V153" s="1124"/>
      <c r="W153" s="1194"/>
      <c r="X153" s="1045"/>
      <c r="Y153" s="1039"/>
      <c r="Z153" s="19" t="s">
        <v>6</v>
      </c>
      <c r="AA153" s="945" t="s">
        <v>4</v>
      </c>
      <c r="AB153" s="7"/>
    </row>
    <row r="154" spans="1:31">
      <c r="A154" s="941"/>
      <c r="B154" s="4"/>
      <c r="C154" s="4"/>
      <c r="D154" s="1080"/>
      <c r="E154" s="1040"/>
      <c r="F154" s="1037"/>
      <c r="G154" s="1040"/>
      <c r="H154" s="1043"/>
      <c r="I154" s="1046"/>
      <c r="J154" s="1046"/>
      <c r="K154" s="1040"/>
      <c r="L154" s="1040"/>
      <c r="M154" s="1046"/>
      <c r="N154" s="1046"/>
      <c r="O154" s="1046"/>
      <c r="P154" s="1043"/>
      <c r="Q154" s="1100"/>
      <c r="R154" s="1043"/>
      <c r="S154" s="1043"/>
      <c r="T154" s="1043"/>
      <c r="U154" s="1263"/>
      <c r="V154" s="1125"/>
      <c r="W154" s="1195"/>
      <c r="X154" s="1046"/>
      <c r="Y154" s="1040"/>
      <c r="Z154" s="4" t="s">
        <v>7</v>
      </c>
      <c r="AA154" s="935" t="s">
        <v>5</v>
      </c>
      <c r="AB154" s="7"/>
    </row>
    <row r="155" spans="1:31" ht="13.5" thickBot="1">
      <c r="A155" s="64">
        <v>1</v>
      </c>
      <c r="B155" s="947">
        <v>2</v>
      </c>
      <c r="C155" s="72">
        <v>3</v>
      </c>
      <c r="D155" s="86">
        <v>4</v>
      </c>
      <c r="E155" s="80">
        <v>5</v>
      </c>
      <c r="F155" s="86">
        <v>6</v>
      </c>
      <c r="G155" s="943">
        <v>7</v>
      </c>
      <c r="H155" s="87">
        <v>8</v>
      </c>
      <c r="I155" s="80">
        <v>9</v>
      </c>
      <c r="J155" s="81">
        <v>10</v>
      </c>
      <c r="K155" s="96">
        <v>11</v>
      </c>
      <c r="L155" s="96">
        <v>12</v>
      </c>
      <c r="M155" s="81">
        <v>13</v>
      </c>
      <c r="N155" s="81">
        <v>14</v>
      </c>
      <c r="O155" s="81">
        <v>15</v>
      </c>
      <c r="P155" s="948">
        <v>16</v>
      </c>
      <c r="Q155" s="680">
        <v>17</v>
      </c>
      <c r="R155" s="96">
        <v>18</v>
      </c>
      <c r="S155" s="98">
        <v>19</v>
      </c>
      <c r="T155" s="98">
        <v>20</v>
      </c>
      <c r="U155" s="82">
        <v>21</v>
      </c>
      <c r="V155" s="96">
        <v>22</v>
      </c>
      <c r="W155" s="96">
        <v>23</v>
      </c>
      <c r="X155" s="81">
        <v>24</v>
      </c>
      <c r="Y155" s="96">
        <v>25</v>
      </c>
      <c r="Z155" s="35">
        <v>26</v>
      </c>
      <c r="AA155" s="942">
        <v>27</v>
      </c>
      <c r="AB155" s="7"/>
    </row>
    <row r="156" spans="1:31" ht="15" customHeight="1" thickTop="1">
      <c r="A156" s="135"/>
      <c r="B156" s="13"/>
      <c r="C156" s="77" t="s">
        <v>72</v>
      </c>
      <c r="D156" s="491"/>
      <c r="E156" s="277"/>
      <c r="F156" s="109"/>
      <c r="G156" s="94"/>
      <c r="H156" s="109"/>
      <c r="I156" s="94"/>
      <c r="J156" s="667"/>
      <c r="K156" s="277"/>
      <c r="L156" s="94"/>
      <c r="M156" s="127">
        <v>12</v>
      </c>
      <c r="N156" s="130"/>
      <c r="O156" s="579"/>
      <c r="P156" s="572"/>
      <c r="Q156" s="571"/>
      <c r="R156" s="94"/>
      <c r="S156" s="94"/>
      <c r="T156" s="625"/>
      <c r="U156" s="428"/>
      <c r="V156" s="129"/>
      <c r="W156" s="277"/>
      <c r="X156" s="94"/>
      <c r="Y156" s="94"/>
      <c r="Z156" s="117"/>
      <c r="AA156" s="116"/>
      <c r="AB156" s="7"/>
    </row>
    <row r="157" spans="1:31" ht="16.5" thickBot="1">
      <c r="A157" s="346" t="str">
        <f>A60</f>
        <v>Картофель</v>
      </c>
      <c r="B157" s="347">
        <f>B60</f>
        <v>28</v>
      </c>
      <c r="C157" s="348" t="s">
        <v>73</v>
      </c>
      <c r="D157" s="385"/>
      <c r="E157" s="353"/>
      <c r="F157" s="338"/>
      <c r="G157" s="337"/>
      <c r="H157" s="338"/>
      <c r="I157" s="337"/>
      <c r="J157" s="668"/>
      <c r="K157" s="353"/>
      <c r="L157" s="337"/>
      <c r="M157" s="339">
        <f>M156*B122/1000</f>
        <v>1.2</v>
      </c>
      <c r="N157" s="340"/>
      <c r="O157" s="420"/>
      <c r="P157" s="573"/>
      <c r="Q157" s="350"/>
      <c r="R157" s="337"/>
      <c r="S157" s="337"/>
      <c r="T157" s="614"/>
      <c r="U157" s="364"/>
      <c r="V157" s="341"/>
      <c r="W157" s="353"/>
      <c r="X157" s="337"/>
      <c r="Y157" s="337"/>
      <c r="Z157" s="343">
        <f>ROUND(E157+G157+I157+K157+L157+M157+N157+O157+Q157+R157+S157+V157+W157+X157+Y157,2)</f>
        <v>1.2</v>
      </c>
      <c r="AA157" s="344">
        <f>Z157*B157</f>
        <v>33.6</v>
      </c>
      <c r="AB157" s="7"/>
    </row>
    <row r="158" spans="1:31" ht="15" customHeight="1" thickTop="1">
      <c r="A158" s="133"/>
      <c r="B158" s="122"/>
      <c r="C158" s="77" t="s">
        <v>72</v>
      </c>
      <c r="D158" s="305"/>
      <c r="E158" s="268"/>
      <c r="F158" s="112"/>
      <c r="G158" s="106"/>
      <c r="H158" s="112"/>
      <c r="I158" s="106"/>
      <c r="J158" s="669"/>
      <c r="K158" s="272"/>
      <c r="L158" s="409"/>
      <c r="M158" s="127">
        <v>10.199999999999999</v>
      </c>
      <c r="N158" s="250"/>
      <c r="O158" s="580"/>
      <c r="P158" s="316"/>
      <c r="Q158" s="464"/>
      <c r="R158" s="106"/>
      <c r="S158" s="106"/>
      <c r="T158" s="455"/>
      <c r="U158" s="274"/>
      <c r="V158" s="268"/>
      <c r="W158" s="268"/>
      <c r="X158" s="106"/>
      <c r="Y158" s="106"/>
      <c r="Z158" s="213"/>
      <c r="AA158" s="123"/>
      <c r="AB158" s="7"/>
    </row>
    <row r="159" spans="1:31" ht="16.5" customHeight="1" thickBot="1">
      <c r="A159" s="346" t="str">
        <f>A62</f>
        <v>Горошек консерв.</v>
      </c>
      <c r="B159" s="347">
        <f>B62</f>
        <v>190</v>
      </c>
      <c r="C159" s="348" t="s">
        <v>73</v>
      </c>
      <c r="D159" s="385"/>
      <c r="E159" s="353"/>
      <c r="F159" s="338"/>
      <c r="G159" s="337"/>
      <c r="H159" s="338"/>
      <c r="I159" s="337"/>
      <c r="J159" s="668"/>
      <c r="K159" s="354"/>
      <c r="L159" s="342"/>
      <c r="M159" s="339">
        <f>M158*B122/1000</f>
        <v>1.0199999999999998</v>
      </c>
      <c r="N159" s="340"/>
      <c r="O159" s="420"/>
      <c r="P159" s="574"/>
      <c r="Q159" s="369"/>
      <c r="R159" s="337"/>
      <c r="S159" s="337"/>
      <c r="T159" s="614"/>
      <c r="U159" s="361"/>
      <c r="V159" s="353"/>
      <c r="W159" s="353"/>
      <c r="X159" s="337"/>
      <c r="Y159" s="337"/>
      <c r="Z159" s="343">
        <f>ROUND(E159+G159+I159+K159+L159+M159+N159+O159+Q159+R159+S159+V159+W159+X159+Y159,2)</f>
        <v>1.02</v>
      </c>
      <c r="AA159" s="344">
        <f>Z159*B159</f>
        <v>193.8</v>
      </c>
      <c r="AB159" s="7"/>
    </row>
    <row r="160" spans="1:31" ht="15" customHeight="1" thickTop="1">
      <c r="A160" s="133"/>
      <c r="B160" s="122"/>
      <c r="C160" s="77" t="s">
        <v>72</v>
      </c>
      <c r="D160" s="287"/>
      <c r="E160" s="268"/>
      <c r="F160" s="112"/>
      <c r="G160" s="106"/>
      <c r="H160" s="112"/>
      <c r="I160" s="106"/>
      <c r="J160" s="669"/>
      <c r="K160" s="268"/>
      <c r="L160" s="106"/>
      <c r="M160" s="127">
        <v>5.4</v>
      </c>
      <c r="N160" s="250">
        <v>8.6</v>
      </c>
      <c r="O160" s="131">
        <v>8</v>
      </c>
      <c r="P160" s="177"/>
      <c r="Q160" s="129"/>
      <c r="R160" s="127"/>
      <c r="S160" s="127"/>
      <c r="T160" s="637"/>
      <c r="U160" s="428"/>
      <c r="V160" s="129"/>
      <c r="W160" s="268"/>
      <c r="X160" s="106"/>
      <c r="Y160" s="106"/>
      <c r="Z160" s="214"/>
      <c r="AA160" s="124"/>
      <c r="AB160" s="7"/>
    </row>
    <row r="161" spans="1:28" ht="16.5" thickBot="1">
      <c r="A161" s="346" t="str">
        <f>A64</f>
        <v>Лук</v>
      </c>
      <c r="B161" s="347">
        <f>B64</f>
        <v>37</v>
      </c>
      <c r="C161" s="348" t="s">
        <v>73</v>
      </c>
      <c r="D161" s="385"/>
      <c r="E161" s="353"/>
      <c r="F161" s="338"/>
      <c r="G161" s="381"/>
      <c r="H161" s="338"/>
      <c r="I161" s="337"/>
      <c r="J161" s="668"/>
      <c r="K161" s="353"/>
      <c r="L161" s="337"/>
      <c r="M161" s="339">
        <f>M160*B122/1000</f>
        <v>0.54</v>
      </c>
      <c r="N161" s="339">
        <f>N160*B122/1000</f>
        <v>0.86</v>
      </c>
      <c r="O161" s="341">
        <f>O160*B122/1000</f>
        <v>0.8</v>
      </c>
      <c r="P161" s="349"/>
      <c r="Q161" s="422"/>
      <c r="R161" s="337"/>
      <c r="S161" s="337"/>
      <c r="T161" s="614"/>
      <c r="U161" s="364"/>
      <c r="V161" s="341"/>
      <c r="W161" s="353"/>
      <c r="X161" s="337"/>
      <c r="Y161" s="337"/>
      <c r="Z161" s="343">
        <f>ROUND(E161+G161+I161+K161+L161+M161+N161+O161+Q161+R161+S161+V161+W161+X161+Y161,2)</f>
        <v>2.2000000000000002</v>
      </c>
      <c r="AA161" s="368">
        <f>Z161*B161</f>
        <v>81.400000000000006</v>
      </c>
      <c r="AB161" s="7"/>
    </row>
    <row r="162" spans="1:28" ht="15" customHeight="1" thickTop="1">
      <c r="A162" s="133"/>
      <c r="B162" s="122"/>
      <c r="C162" s="77" t="s">
        <v>72</v>
      </c>
      <c r="D162" s="287"/>
      <c r="E162" s="268"/>
      <c r="F162" s="112"/>
      <c r="G162" s="106"/>
      <c r="H162" s="112"/>
      <c r="I162" s="106"/>
      <c r="J162" s="669"/>
      <c r="K162" s="268" t="s">
        <v>95</v>
      </c>
      <c r="L162" s="106"/>
      <c r="M162" s="127">
        <v>6</v>
      </c>
      <c r="N162" s="127"/>
      <c r="O162" s="131">
        <v>17</v>
      </c>
      <c r="P162" s="101"/>
      <c r="Q162" s="129"/>
      <c r="R162" s="127"/>
      <c r="S162" s="127"/>
      <c r="T162" s="637"/>
      <c r="U162" s="405"/>
      <c r="V162" s="268"/>
      <c r="W162" s="268"/>
      <c r="X162" s="106"/>
      <c r="Y162" s="106"/>
      <c r="Z162" s="214"/>
      <c r="AA162" s="123"/>
      <c r="AB162" s="7"/>
    </row>
    <row r="163" spans="1:28" ht="16.5" thickBot="1">
      <c r="A163" s="346" t="str">
        <f>A66</f>
        <v>Морковь</v>
      </c>
      <c r="B163" s="347">
        <f>B66</f>
        <v>38</v>
      </c>
      <c r="C163" s="348" t="s">
        <v>73</v>
      </c>
      <c r="D163" s="385"/>
      <c r="E163" s="353"/>
      <c r="F163" s="338"/>
      <c r="G163" s="337"/>
      <c r="H163" s="338"/>
      <c r="I163" s="337"/>
      <c r="J163" s="668"/>
      <c r="K163" s="353"/>
      <c r="L163" s="337"/>
      <c r="M163" s="339">
        <f>M162*B122/1000</f>
        <v>0.6</v>
      </c>
      <c r="N163" s="340"/>
      <c r="O163" s="341">
        <f>O162*B122/1000</f>
        <v>1.7</v>
      </c>
      <c r="P163" s="574"/>
      <c r="Q163" s="350"/>
      <c r="R163" s="337"/>
      <c r="S163" s="337"/>
      <c r="T163" s="614"/>
      <c r="U163" s="360"/>
      <c r="V163" s="353"/>
      <c r="W163" s="353"/>
      <c r="X163" s="337"/>
      <c r="Y163" s="337"/>
      <c r="Z163" s="343">
        <f>ROUND(E163+G163+I163+K163+L163+M163+N163+O163+Q163+R163+S163+V163+W163+X163+Y163,2)</f>
        <v>2.2999999999999998</v>
      </c>
      <c r="AA163" s="344">
        <f>Z163*B163</f>
        <v>87.399999999999991</v>
      </c>
      <c r="AB163" s="7"/>
    </row>
    <row r="164" spans="1:28" ht="15" customHeight="1" thickTop="1">
      <c r="A164" s="133"/>
      <c r="B164" s="122"/>
      <c r="C164" s="77" t="s">
        <v>72</v>
      </c>
      <c r="D164" s="287"/>
      <c r="E164" s="268"/>
      <c r="F164" s="177"/>
      <c r="G164" s="114"/>
      <c r="H164" s="112"/>
      <c r="I164" s="106"/>
      <c r="J164" s="669"/>
      <c r="K164" s="268"/>
      <c r="L164" s="106"/>
      <c r="M164" s="127">
        <v>8.1999999999999993</v>
      </c>
      <c r="N164" s="106"/>
      <c r="O164" s="460"/>
      <c r="P164" s="316"/>
      <c r="Q164" s="464"/>
      <c r="R164" s="106"/>
      <c r="S164" s="106"/>
      <c r="T164" s="455"/>
      <c r="U164" s="270"/>
      <c r="V164" s="268"/>
      <c r="W164" s="268"/>
      <c r="X164" s="106"/>
      <c r="Y164" s="106"/>
      <c r="Z164" s="214"/>
      <c r="AA164" s="123"/>
      <c r="AB164" s="7"/>
    </row>
    <row r="165" spans="1:28" ht="16.5" thickBot="1">
      <c r="A165" s="346" t="str">
        <f>A68</f>
        <v>Свекла стол.</v>
      </c>
      <c r="B165" s="347">
        <f>B68</f>
        <v>28</v>
      </c>
      <c r="C165" s="348" t="s">
        <v>73</v>
      </c>
      <c r="D165" s="385"/>
      <c r="E165" s="353"/>
      <c r="F165" s="349"/>
      <c r="G165" s="340"/>
      <c r="H165" s="338"/>
      <c r="I165" s="337"/>
      <c r="J165" s="668"/>
      <c r="K165" s="353"/>
      <c r="L165" s="337"/>
      <c r="M165" s="339">
        <f>M164*B122/1000</f>
        <v>0.81999999999999984</v>
      </c>
      <c r="N165" s="340"/>
      <c r="O165" s="420"/>
      <c r="P165" s="574"/>
      <c r="Q165" s="369"/>
      <c r="R165" s="337"/>
      <c r="S165" s="337"/>
      <c r="T165" s="614"/>
      <c r="U165" s="352"/>
      <c r="V165" s="353"/>
      <c r="W165" s="353"/>
      <c r="X165" s="337"/>
      <c r="Y165" s="337"/>
      <c r="Z165" s="343">
        <f>ROUND(E165+G165+I165+K165+L165+M165+N165+O165+Q165+R165+S165+V165+W165+X165+Y165,2)</f>
        <v>0.82</v>
      </c>
      <c r="AA165" s="344">
        <f>Z165*B165</f>
        <v>22.959999999999997</v>
      </c>
      <c r="AB165" s="7"/>
    </row>
    <row r="166" spans="1:28" ht="15" customHeight="1" thickTop="1">
      <c r="A166" s="133"/>
      <c r="B166" s="122"/>
      <c r="C166" s="77" t="s">
        <v>72</v>
      </c>
      <c r="D166" s="489">
        <v>20</v>
      </c>
      <c r="E166" s="272">
        <f>D166/D123*E123</f>
        <v>20</v>
      </c>
      <c r="F166" s="112"/>
      <c r="G166" s="106"/>
      <c r="H166" s="112"/>
      <c r="I166" s="106"/>
      <c r="J166" s="669"/>
      <c r="K166" s="272">
        <f>K167/B122*1000</f>
        <v>10</v>
      </c>
      <c r="L166" s="127"/>
      <c r="M166" s="106"/>
      <c r="N166" s="106"/>
      <c r="O166" s="566"/>
      <c r="P166" s="439"/>
      <c r="Q166" s="129"/>
      <c r="R166" s="106"/>
      <c r="S166" s="106"/>
      <c r="T166" s="455"/>
      <c r="U166" s="270"/>
      <c r="V166" s="268"/>
      <c r="W166" s="268"/>
      <c r="X166" s="106"/>
      <c r="Y166" s="127"/>
      <c r="Z166" s="214"/>
      <c r="AA166" s="123"/>
      <c r="AB166" s="7"/>
    </row>
    <row r="167" spans="1:28" ht="16.5" thickBot="1">
      <c r="A167" s="346" t="str">
        <f>A70</f>
        <v>Батон витам.</v>
      </c>
      <c r="B167" s="347">
        <f>B70</f>
        <v>81.099999999999994</v>
      </c>
      <c r="C167" s="348" t="s">
        <v>73</v>
      </c>
      <c r="D167" s="490">
        <f>D166*F122/1000</f>
        <v>2</v>
      </c>
      <c r="E167" s="341">
        <f>D167</f>
        <v>2</v>
      </c>
      <c r="F167" s="338"/>
      <c r="G167" s="337"/>
      <c r="H167" s="338"/>
      <c r="I167" s="337"/>
      <c r="J167" s="668"/>
      <c r="K167" s="341">
        <v>1</v>
      </c>
      <c r="L167" s="339"/>
      <c r="M167" s="381"/>
      <c r="N167" s="337"/>
      <c r="O167" s="569"/>
      <c r="P167" s="584"/>
      <c r="Q167" s="369"/>
      <c r="R167" s="337"/>
      <c r="S167" s="337"/>
      <c r="T167" s="614"/>
      <c r="U167" s="352"/>
      <c r="V167" s="353"/>
      <c r="W167" s="353"/>
      <c r="X167" s="337"/>
      <c r="Y167" s="342"/>
      <c r="Z167" s="343">
        <f>ROUND(E167+G167+I167+K167+L167+M167+N167+O167+Q167+R167+S167+V167+W167+X167+Y167,2)</f>
        <v>3</v>
      </c>
      <c r="AA167" s="344">
        <f>Z167*B167</f>
        <v>243.29999999999998</v>
      </c>
      <c r="AB167" s="7"/>
    </row>
    <row r="168" spans="1:28" ht="15" customHeight="1" thickTop="1">
      <c r="A168" s="133"/>
      <c r="B168" s="122"/>
      <c r="C168" s="77" t="s">
        <v>72</v>
      </c>
      <c r="D168" s="287"/>
      <c r="E168" s="268"/>
      <c r="F168" s="112"/>
      <c r="G168" s="106"/>
      <c r="H168" s="112"/>
      <c r="I168" s="106"/>
      <c r="J168" s="669"/>
      <c r="K168" s="268"/>
      <c r="L168" s="106"/>
      <c r="M168" s="106"/>
      <c r="N168" s="106"/>
      <c r="O168" s="460"/>
      <c r="P168" s="316"/>
      <c r="Q168" s="464"/>
      <c r="R168" s="106"/>
      <c r="S168" s="128">
        <f>S169/S122*1000</f>
        <v>30</v>
      </c>
      <c r="T168" s="638"/>
      <c r="U168" s="270"/>
      <c r="V168" s="268"/>
      <c r="W168" s="268"/>
      <c r="X168" s="106"/>
      <c r="Y168" s="106"/>
      <c r="Z168" s="214"/>
      <c r="AA168" s="123"/>
      <c r="AB168" s="7"/>
    </row>
    <row r="169" spans="1:28" ht="16.5" thickBot="1">
      <c r="A169" s="346" t="str">
        <f>A72</f>
        <v>Хлеб рж-пшен.</v>
      </c>
      <c r="B169" s="347">
        <f>B72</f>
        <v>55</v>
      </c>
      <c r="C169" s="348" t="s">
        <v>73</v>
      </c>
      <c r="D169" s="385"/>
      <c r="E169" s="353"/>
      <c r="F169" s="338"/>
      <c r="G169" s="337"/>
      <c r="H169" s="338"/>
      <c r="I169" s="337"/>
      <c r="J169" s="668"/>
      <c r="K169" s="353"/>
      <c r="L169" s="337"/>
      <c r="M169" s="337"/>
      <c r="N169" s="337"/>
      <c r="O169" s="459"/>
      <c r="P169" s="574"/>
      <c r="Q169" s="369"/>
      <c r="R169" s="337"/>
      <c r="S169" s="342">
        <v>3</v>
      </c>
      <c r="T169" s="639"/>
      <c r="U169" s="352"/>
      <c r="V169" s="353"/>
      <c r="W169" s="353"/>
      <c r="X169" s="337"/>
      <c r="Y169" s="337"/>
      <c r="Z169" s="343">
        <f>ROUND(E169+G169+I169+K169+L169+M169+N169+O169+Q169+R169+S169+V169+W169+X169+Y169,2)</f>
        <v>3</v>
      </c>
      <c r="AA169" s="344">
        <f>Z169*B169</f>
        <v>165</v>
      </c>
      <c r="AB169" s="7"/>
    </row>
    <row r="170" spans="1:28" ht="15" customHeight="1" thickTop="1">
      <c r="A170" s="133"/>
      <c r="B170" s="122"/>
      <c r="C170" s="77" t="s">
        <v>72</v>
      </c>
      <c r="D170" s="305"/>
      <c r="E170" s="413"/>
      <c r="F170" s="112"/>
      <c r="G170" s="106"/>
      <c r="H170" s="112"/>
      <c r="I170" s="106"/>
      <c r="J170" s="669"/>
      <c r="K170" s="268"/>
      <c r="L170" s="106"/>
      <c r="M170" s="106"/>
      <c r="N170" s="106"/>
      <c r="O170" s="581"/>
      <c r="P170" s="316"/>
      <c r="Q170" s="464"/>
      <c r="R170" s="106"/>
      <c r="S170" s="106"/>
      <c r="T170" s="455"/>
      <c r="U170" s="270"/>
      <c r="V170" s="268"/>
      <c r="W170" s="268"/>
      <c r="X170" s="106"/>
      <c r="Y170" s="128">
        <f>Y171/Y122*1000</f>
        <v>10</v>
      </c>
      <c r="Z170" s="214"/>
      <c r="AA170" s="123"/>
      <c r="AB170" s="7"/>
    </row>
    <row r="171" spans="1:28" ht="16.5" thickBot="1">
      <c r="A171" s="346" t="str">
        <f>A74</f>
        <v xml:space="preserve">Хлеб  йод. пш. </v>
      </c>
      <c r="B171" s="347">
        <f>B74</f>
        <v>61.3</v>
      </c>
      <c r="C171" s="348" t="s">
        <v>73</v>
      </c>
      <c r="D171" s="385"/>
      <c r="E171" s="353"/>
      <c r="F171" s="338"/>
      <c r="G171" s="337"/>
      <c r="H171" s="338"/>
      <c r="I171" s="337"/>
      <c r="J171" s="668"/>
      <c r="K171" s="353"/>
      <c r="L171" s="337"/>
      <c r="M171" s="337"/>
      <c r="N171" s="337"/>
      <c r="O171" s="459"/>
      <c r="P171" s="574"/>
      <c r="Q171" s="369"/>
      <c r="R171" s="337"/>
      <c r="S171" s="337"/>
      <c r="T171" s="614"/>
      <c r="U171" s="352"/>
      <c r="V171" s="353"/>
      <c r="W171" s="353"/>
      <c r="X171" s="337"/>
      <c r="Y171" s="342">
        <v>1</v>
      </c>
      <c r="Z171" s="343">
        <f>ROUND(E171+G171+I171+K171+L171+M171+N171+O171+Q171+R171+S171+V171+W171+X171+Y171,2)</f>
        <v>1</v>
      </c>
      <c r="AA171" s="344">
        <f>Z171*B171</f>
        <v>61.3</v>
      </c>
      <c r="AB171" s="7"/>
    </row>
    <row r="172" spans="1:28" ht="15" customHeight="1" thickTop="1">
      <c r="A172" s="133"/>
      <c r="B172" s="122"/>
      <c r="C172" s="77" t="s">
        <v>72</v>
      </c>
      <c r="D172" s="287"/>
      <c r="E172" s="268"/>
      <c r="F172" s="177"/>
      <c r="G172" s="114"/>
      <c r="H172" s="112"/>
      <c r="I172" s="106"/>
      <c r="J172" s="403"/>
      <c r="K172" s="268"/>
      <c r="L172" s="106"/>
      <c r="M172" s="127"/>
      <c r="N172" s="106"/>
      <c r="O172" s="460"/>
      <c r="P172" s="316"/>
      <c r="Q172" s="113"/>
      <c r="R172" s="106"/>
      <c r="S172" s="106"/>
      <c r="T172" s="455"/>
      <c r="U172" s="270"/>
      <c r="V172" s="268"/>
      <c r="W172" s="268"/>
      <c r="X172" s="127"/>
      <c r="Y172" s="106"/>
      <c r="Z172" s="214"/>
      <c r="AA172" s="123"/>
      <c r="AB172" s="7"/>
    </row>
    <row r="173" spans="1:28" ht="16.5" thickBot="1">
      <c r="A173" s="346" t="str">
        <f>A76</f>
        <v>Огурцы конс.</v>
      </c>
      <c r="B173" s="347">
        <f>B76</f>
        <v>85</v>
      </c>
      <c r="C173" s="348" t="s">
        <v>73</v>
      </c>
      <c r="D173" s="385"/>
      <c r="E173" s="353"/>
      <c r="F173" s="349"/>
      <c r="G173" s="340"/>
      <c r="H173" s="338"/>
      <c r="I173" s="337"/>
      <c r="J173" s="372"/>
      <c r="K173" s="353"/>
      <c r="L173" s="337"/>
      <c r="M173" s="339"/>
      <c r="N173" s="337"/>
      <c r="O173" s="459"/>
      <c r="P173" s="574"/>
      <c r="Q173" s="350"/>
      <c r="R173" s="337"/>
      <c r="S173" s="337"/>
      <c r="T173" s="614"/>
      <c r="U173" s="352"/>
      <c r="V173" s="353"/>
      <c r="W173" s="353"/>
      <c r="X173" s="358"/>
      <c r="Y173" s="337"/>
      <c r="Z173" s="343">
        <f>ROUND(E173+G173+I173+J173+K173+L173+M173+N173+O173+Q173+R173+S173+V173+W173+X173+Y173,2)</f>
        <v>0</v>
      </c>
      <c r="AA173" s="344">
        <f>Z173*B173</f>
        <v>0</v>
      </c>
      <c r="AB173" s="7"/>
    </row>
    <row r="174" spans="1:28" ht="15" customHeight="1" thickTop="1">
      <c r="A174" s="133"/>
      <c r="B174" s="122"/>
      <c r="C174" s="77" t="s">
        <v>72</v>
      </c>
      <c r="D174" s="108">
        <v>10.6</v>
      </c>
      <c r="E174" s="129">
        <f>D174/D123*E123</f>
        <v>10.6</v>
      </c>
      <c r="F174" s="112"/>
      <c r="G174" s="106"/>
      <c r="H174" s="112"/>
      <c r="I174" s="128"/>
      <c r="J174" s="669"/>
      <c r="K174" s="268"/>
      <c r="L174" s="106"/>
      <c r="M174" s="106"/>
      <c r="N174" s="106"/>
      <c r="O174" s="460"/>
      <c r="P174" s="577"/>
      <c r="Q174" s="464"/>
      <c r="R174" s="106"/>
      <c r="S174" s="106"/>
      <c r="T174" s="455"/>
      <c r="U174" s="270"/>
      <c r="V174" s="268"/>
      <c r="W174" s="268"/>
      <c r="X174" s="127"/>
      <c r="Y174" s="106"/>
      <c r="Z174" s="213"/>
      <c r="AA174" s="123"/>
      <c r="AB174" s="7"/>
    </row>
    <row r="175" spans="1:28" ht="16.5" thickBot="1">
      <c r="A175" s="346" t="str">
        <f>A78</f>
        <v>Сыр "Росс"</v>
      </c>
      <c r="B175" s="347">
        <f>B78</f>
        <v>540</v>
      </c>
      <c r="C175" s="348" t="s">
        <v>73</v>
      </c>
      <c r="D175" s="349">
        <f>D174*F122/1000</f>
        <v>1.06</v>
      </c>
      <c r="E175" s="341">
        <f>D175</f>
        <v>1.06</v>
      </c>
      <c r="F175" s="338"/>
      <c r="G175" s="337"/>
      <c r="H175" s="377"/>
      <c r="I175" s="355"/>
      <c r="J175" s="668"/>
      <c r="K175" s="353"/>
      <c r="L175" s="337"/>
      <c r="M175" s="337"/>
      <c r="N175" s="337"/>
      <c r="O175" s="459"/>
      <c r="P175" s="574"/>
      <c r="Q175" s="369"/>
      <c r="R175" s="337"/>
      <c r="S175" s="337"/>
      <c r="T175" s="614"/>
      <c r="U175" s="352"/>
      <c r="V175" s="353"/>
      <c r="W175" s="353"/>
      <c r="X175" s="340"/>
      <c r="Y175" s="337"/>
      <c r="Z175" s="343">
        <f>ROUND(E175+G175+I175+K175+L175+M175+N175+O175+Q175+R175+S175+V175+W175+X175+Y175,2)</f>
        <v>1.06</v>
      </c>
      <c r="AA175" s="344">
        <f>Z175*B175</f>
        <v>572.4</v>
      </c>
      <c r="AB175" s="7"/>
    </row>
    <row r="176" spans="1:28" ht="15" customHeight="1" thickTop="1">
      <c r="A176" s="133"/>
      <c r="B176" s="121"/>
      <c r="C176" s="77" t="s">
        <v>72</v>
      </c>
      <c r="D176" s="287"/>
      <c r="E176" s="88"/>
      <c r="F176" s="497"/>
      <c r="G176" s="129"/>
      <c r="H176" s="108"/>
      <c r="I176" s="88"/>
      <c r="J176" s="608"/>
      <c r="K176" s="88"/>
      <c r="L176" s="88"/>
      <c r="M176" s="88"/>
      <c r="N176" s="583"/>
      <c r="O176" s="280"/>
      <c r="P176" s="177"/>
      <c r="Q176" s="129"/>
      <c r="R176" s="88"/>
      <c r="S176" s="88"/>
      <c r="T176" s="215"/>
      <c r="U176" s="428">
        <f>60.8/80*U123</f>
        <v>60.8</v>
      </c>
      <c r="V176" s="129">
        <f>U176/U123*V123</f>
        <v>60.8</v>
      </c>
      <c r="W176" s="131"/>
      <c r="X176" s="88"/>
      <c r="Y176" s="88"/>
      <c r="Z176" s="214"/>
      <c r="AA176" s="123"/>
      <c r="AB176" s="7"/>
    </row>
    <row r="177" spans="1:28" ht="16.5" thickBot="1">
      <c r="A177" s="346" t="str">
        <f>A80</f>
        <v>Творог</v>
      </c>
      <c r="B177" s="347">
        <f>B80</f>
        <v>319.5</v>
      </c>
      <c r="C177" s="348" t="s">
        <v>73</v>
      </c>
      <c r="D177" s="385"/>
      <c r="E177" s="350"/>
      <c r="F177" s="363"/>
      <c r="G177" s="350"/>
      <c r="H177" s="349"/>
      <c r="I177" s="350"/>
      <c r="J177" s="569"/>
      <c r="K177" s="350"/>
      <c r="L177" s="350"/>
      <c r="M177" s="350"/>
      <c r="N177" s="341"/>
      <c r="O177" s="420"/>
      <c r="P177" s="349"/>
      <c r="Q177" s="422"/>
      <c r="R177" s="350"/>
      <c r="S177" s="350"/>
      <c r="T177" s="379"/>
      <c r="U177" s="364">
        <f>U176*F122/1000</f>
        <v>6.08</v>
      </c>
      <c r="V177" s="341">
        <f>U177</f>
        <v>6.08</v>
      </c>
      <c r="W177" s="341"/>
      <c r="X177" s="350"/>
      <c r="Y177" s="350"/>
      <c r="Z177" s="343">
        <f>ROUND(E177+G177+I177+K177+L177+M177+N177+O177+Q177+R177+S177+V177+W177+X177+Y177,2)</f>
        <v>6.08</v>
      </c>
      <c r="AA177" s="344">
        <f>Z177*B177</f>
        <v>1942.56</v>
      </c>
      <c r="AB177" s="7"/>
    </row>
    <row r="178" spans="1:28" ht="15" customHeight="1" thickTop="1">
      <c r="A178" s="133"/>
      <c r="B178" s="122"/>
      <c r="C178" s="77" t="s">
        <v>72</v>
      </c>
      <c r="D178" s="305"/>
      <c r="E178" s="268"/>
      <c r="F178" s="112"/>
      <c r="G178" s="106"/>
      <c r="H178" s="112">
        <v>0.3</v>
      </c>
      <c r="I178" s="128">
        <f>H178/H123*I123</f>
        <v>0.3</v>
      </c>
      <c r="J178" s="669"/>
      <c r="K178" s="184"/>
      <c r="L178" s="114"/>
      <c r="M178" s="106"/>
      <c r="N178" s="106"/>
      <c r="O178" s="460"/>
      <c r="P178" s="316"/>
      <c r="Q178" s="113"/>
      <c r="R178" s="127"/>
      <c r="S178" s="106"/>
      <c r="T178" s="455"/>
      <c r="U178" s="270"/>
      <c r="V178" s="268"/>
      <c r="W178" s="268"/>
      <c r="X178" s="127"/>
      <c r="Y178" s="106"/>
      <c r="Z178" s="214"/>
      <c r="AA178" s="123"/>
      <c r="AB178" s="7"/>
    </row>
    <row r="179" spans="1:28" ht="16.5" thickBot="1">
      <c r="A179" s="346" t="str">
        <f>A82</f>
        <v>Чай</v>
      </c>
      <c r="B179" s="347">
        <f>B82</f>
        <v>500</v>
      </c>
      <c r="C179" s="348" t="s">
        <v>73</v>
      </c>
      <c r="D179" s="385"/>
      <c r="E179" s="353"/>
      <c r="F179" s="338"/>
      <c r="G179" s="337"/>
      <c r="H179" s="377">
        <f>H178*F122/1000</f>
        <v>0.03</v>
      </c>
      <c r="I179" s="357">
        <f>H179</f>
        <v>0.03</v>
      </c>
      <c r="J179" s="567"/>
      <c r="K179" s="366"/>
      <c r="L179" s="342"/>
      <c r="M179" s="337"/>
      <c r="N179" s="337"/>
      <c r="O179" s="459"/>
      <c r="P179" s="574"/>
      <c r="Q179" s="350"/>
      <c r="R179" s="358"/>
      <c r="S179" s="337"/>
      <c r="T179" s="614"/>
      <c r="U179" s="352"/>
      <c r="V179" s="353"/>
      <c r="W179" s="353"/>
      <c r="X179" s="355"/>
      <c r="Y179" s="337"/>
      <c r="Z179" s="356">
        <f>ROUND(E179+G179+I179+K179+L179+M179+N179+O179+Q179+R179+S179+V179+W179+X179+Y179,3)</f>
        <v>0.03</v>
      </c>
      <c r="AA179" s="344">
        <f>Z179*B179</f>
        <v>15</v>
      </c>
      <c r="AB179" s="7"/>
    </row>
    <row r="180" spans="1:28" ht="15.75" customHeight="1" thickTop="1">
      <c r="A180" s="133"/>
      <c r="B180" s="122"/>
      <c r="C180" s="77" t="s">
        <v>72</v>
      </c>
      <c r="D180" s="287"/>
      <c r="E180" s="268"/>
      <c r="F180" s="112"/>
      <c r="G180" s="106"/>
      <c r="H180" s="112"/>
      <c r="I180" s="106"/>
      <c r="J180" s="669"/>
      <c r="K180" s="268"/>
      <c r="L180" s="106"/>
      <c r="M180" s="106"/>
      <c r="N180" s="127"/>
      <c r="O180" s="131"/>
      <c r="P180" s="177"/>
      <c r="Q180" s="129"/>
      <c r="R180" s="106"/>
      <c r="S180" s="106"/>
      <c r="T180" s="455"/>
      <c r="U180" s="274"/>
      <c r="V180" s="268"/>
      <c r="W180" s="268"/>
      <c r="X180" s="106"/>
      <c r="Y180" s="106"/>
      <c r="Z180" s="214"/>
      <c r="AA180" s="123"/>
      <c r="AB180" s="7"/>
    </row>
    <row r="181" spans="1:28" ht="16.5" thickBot="1">
      <c r="A181" s="346" t="str">
        <f>A84</f>
        <v>Томатная паста</v>
      </c>
      <c r="B181" s="347">
        <f>B84</f>
        <v>370</v>
      </c>
      <c r="C181" s="348" t="s">
        <v>73</v>
      </c>
      <c r="D181" s="385"/>
      <c r="E181" s="353"/>
      <c r="F181" s="338"/>
      <c r="G181" s="337"/>
      <c r="H181" s="338"/>
      <c r="I181" s="337"/>
      <c r="J181" s="668"/>
      <c r="K181" s="353"/>
      <c r="L181" s="337"/>
      <c r="M181" s="337"/>
      <c r="N181" s="340"/>
      <c r="O181" s="341"/>
      <c r="P181" s="349"/>
      <c r="Q181" s="422"/>
      <c r="R181" s="358"/>
      <c r="S181" s="358"/>
      <c r="T181" s="416"/>
      <c r="U181" s="360"/>
      <c r="V181" s="353"/>
      <c r="W181" s="353"/>
      <c r="X181" s="337"/>
      <c r="Y181" s="337"/>
      <c r="Z181" s="343">
        <f>ROUND(E181+G181+I181+K181+L181+M181+N181+O181+Q181+R181+S181+V181+W181+X181+Y181,2)</f>
        <v>0</v>
      </c>
      <c r="AA181" s="344">
        <f>Z181*B181</f>
        <v>0</v>
      </c>
      <c r="AB181" s="7"/>
    </row>
    <row r="182" spans="1:28" ht="15" customHeight="1" thickTop="1">
      <c r="A182" s="133"/>
      <c r="B182" s="122"/>
      <c r="C182" s="77" t="s">
        <v>72</v>
      </c>
      <c r="D182" s="287"/>
      <c r="E182" s="271"/>
      <c r="F182" s="112"/>
      <c r="G182" s="105"/>
      <c r="H182" s="112"/>
      <c r="I182" s="105"/>
      <c r="J182" s="669"/>
      <c r="K182" s="271"/>
      <c r="L182" s="105"/>
      <c r="M182" s="250"/>
      <c r="N182" s="105"/>
      <c r="O182" s="461"/>
      <c r="P182" s="578"/>
      <c r="Q182" s="576"/>
      <c r="R182" s="127">
        <v>0.15</v>
      </c>
      <c r="S182" s="105"/>
      <c r="T182" s="640"/>
      <c r="U182" s="273"/>
      <c r="V182" s="271"/>
      <c r="W182" s="127"/>
      <c r="X182" s="127">
        <v>0.15</v>
      </c>
      <c r="Y182" s="105"/>
      <c r="Z182" s="213"/>
      <c r="AA182" s="123"/>
      <c r="AB182" s="7"/>
    </row>
    <row r="183" spans="1:28" ht="16.5" thickBot="1">
      <c r="A183" s="346" t="str">
        <f>A86</f>
        <v>Лимонная к-та</v>
      </c>
      <c r="B183" s="347">
        <f>B86</f>
        <v>900</v>
      </c>
      <c r="C183" s="348" t="s">
        <v>73</v>
      </c>
      <c r="D183" s="385"/>
      <c r="E183" s="353"/>
      <c r="F183" s="338"/>
      <c r="G183" s="337"/>
      <c r="H183" s="338"/>
      <c r="I183" s="337"/>
      <c r="J183" s="668"/>
      <c r="K183" s="353"/>
      <c r="L183" s="337"/>
      <c r="M183" s="585"/>
      <c r="N183" s="337"/>
      <c r="O183" s="459"/>
      <c r="P183" s="574"/>
      <c r="Q183" s="369"/>
      <c r="R183" s="357">
        <f>R182*B122/1000</f>
        <v>1.4999999999999999E-2</v>
      </c>
      <c r="S183" s="337"/>
      <c r="T183" s="614"/>
      <c r="U183" s="352"/>
      <c r="V183" s="353"/>
      <c r="W183" s="357"/>
      <c r="X183" s="357">
        <f>X182*B122/1000</f>
        <v>1.4999999999999999E-2</v>
      </c>
      <c r="Y183" s="337"/>
      <c r="Z183" s="356">
        <f>ROUND(E183+G183+I183+K183+L183+M183+N183+O183+Q183+R183+S183+V183+W183+X183+Y183,3)</f>
        <v>0.03</v>
      </c>
      <c r="AA183" s="344">
        <f>Z183*B183</f>
        <v>27</v>
      </c>
      <c r="AB183" s="7"/>
    </row>
    <row r="184" spans="1:28" ht="15" customHeight="1" thickTop="1">
      <c r="A184" s="141"/>
      <c r="B184" s="122"/>
      <c r="C184" s="77" t="s">
        <v>72</v>
      </c>
      <c r="D184" s="287"/>
      <c r="E184" s="268"/>
      <c r="F184" s="112"/>
      <c r="G184" s="106"/>
      <c r="H184" s="112"/>
      <c r="I184" s="106"/>
      <c r="J184" s="669"/>
      <c r="K184" s="268"/>
      <c r="L184" s="409">
        <f>L185/B122*1000</f>
        <v>100</v>
      </c>
      <c r="M184" s="251"/>
      <c r="N184" s="106"/>
      <c r="O184" s="460"/>
      <c r="P184" s="577"/>
      <c r="Q184" s="464"/>
      <c r="R184" s="106"/>
      <c r="S184" s="106"/>
      <c r="T184" s="131"/>
      <c r="U184" s="406"/>
      <c r="V184" s="184"/>
      <c r="W184" s="250"/>
      <c r="X184" s="106"/>
      <c r="Y184" s="106"/>
      <c r="Z184" s="214"/>
      <c r="AA184" s="123"/>
      <c r="AB184" s="7"/>
    </row>
    <row r="185" spans="1:28" ht="16.5" thickBot="1">
      <c r="A185" s="346" t="str">
        <f>A88</f>
        <v>Фрукт?</v>
      </c>
      <c r="B185" s="347">
        <f>B88</f>
        <v>100</v>
      </c>
      <c r="C185" s="348" t="s">
        <v>73</v>
      </c>
      <c r="D185" s="385"/>
      <c r="E185" s="353"/>
      <c r="F185" s="338"/>
      <c r="G185" s="337"/>
      <c r="H185" s="338"/>
      <c r="I185" s="337"/>
      <c r="J185" s="668"/>
      <c r="K185" s="353"/>
      <c r="L185" s="342">
        <v>10</v>
      </c>
      <c r="M185" s="358"/>
      <c r="N185" s="337"/>
      <c r="O185" s="459"/>
      <c r="P185" s="574"/>
      <c r="Q185" s="369"/>
      <c r="R185" s="337"/>
      <c r="S185" s="337"/>
      <c r="T185" s="341"/>
      <c r="U185" s="364"/>
      <c r="V185" s="350"/>
      <c r="W185" s="340"/>
      <c r="X185" s="337"/>
      <c r="Y185" s="337"/>
      <c r="Z185" s="343">
        <f>ROUND(E185+G185+I185+K185+L185+M185+N185+O185+Q185+R185+S185+T185+V185+W185+X185+Y185,2)</f>
        <v>10</v>
      </c>
      <c r="AA185" s="344">
        <f>Z185*B185</f>
        <v>1000</v>
      </c>
      <c r="AB185" s="7"/>
    </row>
    <row r="186" spans="1:28" ht="15" customHeight="1" thickTop="1">
      <c r="A186" s="133"/>
      <c r="B186" s="122"/>
      <c r="C186" s="77" t="s">
        <v>72</v>
      </c>
      <c r="D186" s="287"/>
      <c r="E186" s="268"/>
      <c r="F186" s="112">
        <v>1.1000000000000001</v>
      </c>
      <c r="G186" s="128">
        <f>F186/F123*G123</f>
        <v>1.1000000000000001</v>
      </c>
      <c r="H186" s="112"/>
      <c r="I186" s="106"/>
      <c r="J186" s="669"/>
      <c r="K186" s="268"/>
      <c r="L186" s="106"/>
      <c r="M186" s="250">
        <v>0.05</v>
      </c>
      <c r="N186" s="127">
        <v>0.5</v>
      </c>
      <c r="O186" s="679">
        <v>1.1000000000000001</v>
      </c>
      <c r="P186" s="101"/>
      <c r="Q186" s="127">
        <v>0.4</v>
      </c>
      <c r="R186" s="106"/>
      <c r="S186" s="106"/>
      <c r="T186" s="455"/>
      <c r="U186" s="274"/>
      <c r="V186" s="272">
        <v>0.2</v>
      </c>
      <c r="W186" s="272"/>
      <c r="X186" s="106"/>
      <c r="Y186" s="106"/>
      <c r="Z186" s="214"/>
      <c r="AA186" s="123"/>
      <c r="AB186" s="7"/>
    </row>
    <row r="187" spans="1:28" ht="16.5" thickBot="1">
      <c r="A187" s="346" t="str">
        <f>A90</f>
        <v>Соль иодиров.</v>
      </c>
      <c r="B187" s="347">
        <f>B90</f>
        <v>28</v>
      </c>
      <c r="C187" s="348" t="s">
        <v>73</v>
      </c>
      <c r="D187" s="385"/>
      <c r="E187" s="353"/>
      <c r="F187" s="338">
        <f>F186*F122/1000</f>
        <v>0.11000000000000001</v>
      </c>
      <c r="G187" s="339">
        <f>F187</f>
        <v>0.11000000000000001</v>
      </c>
      <c r="H187" s="338"/>
      <c r="I187" s="337"/>
      <c r="J187" s="668"/>
      <c r="K187" s="353"/>
      <c r="L187" s="337"/>
      <c r="M187" s="641">
        <f>M186*B122/1000</f>
        <v>5.0000000000000001E-3</v>
      </c>
      <c r="N187" s="339">
        <f>N186*B122/1000</f>
        <v>0.05</v>
      </c>
      <c r="O187" s="372">
        <f>O186*B122/1000</f>
        <v>0.11000000000000001</v>
      </c>
      <c r="P187" s="376"/>
      <c r="Q187" s="339">
        <f>Q186*E122/1000</f>
        <v>0.04</v>
      </c>
      <c r="R187" s="337"/>
      <c r="S187" s="337"/>
      <c r="T187" s="614"/>
      <c r="U187" s="361"/>
      <c r="V187" s="341">
        <f>V186*B122/1000</f>
        <v>0.02</v>
      </c>
      <c r="W187" s="341"/>
      <c r="X187" s="337"/>
      <c r="Y187" s="337"/>
      <c r="Z187" s="343">
        <f>ROUND(E187+G187+I187+K187+L187+M187+N187+O187+Q187+R187+S187+V187+W187+X187+Y187,2)</f>
        <v>0.34</v>
      </c>
      <c r="AA187" s="344">
        <f>Z187*B187</f>
        <v>9.5200000000000014</v>
      </c>
      <c r="AB187" s="7"/>
    </row>
    <row r="188" spans="1:28" ht="15.75" thickTop="1">
      <c r="A188" s="133"/>
      <c r="B188" s="122"/>
      <c r="C188" s="77" t="s">
        <v>72</v>
      </c>
      <c r="D188" s="287"/>
      <c r="E188" s="268"/>
      <c r="F188" s="112"/>
      <c r="G188" s="106"/>
      <c r="H188" s="112"/>
      <c r="I188" s="106"/>
      <c r="J188" s="669"/>
      <c r="K188" s="268"/>
      <c r="L188" s="106"/>
      <c r="M188" s="250"/>
      <c r="N188" s="106"/>
      <c r="O188" s="460"/>
      <c r="P188" s="316"/>
      <c r="Q188" s="464"/>
      <c r="R188" s="106"/>
      <c r="S188" s="106"/>
      <c r="T188" s="455"/>
      <c r="U188" s="270"/>
      <c r="V188" s="184"/>
      <c r="W188" s="184"/>
      <c r="X188" s="127">
        <v>18</v>
      </c>
      <c r="Y188" s="106"/>
      <c r="Z188" s="214"/>
      <c r="AA188" s="123"/>
      <c r="AB188" s="7"/>
    </row>
    <row r="189" spans="1:28" ht="16.5" thickBot="1">
      <c r="A189" s="346" t="str">
        <f>A92</f>
        <v>Кисель конц.</v>
      </c>
      <c r="B189" s="347">
        <f>B92</f>
        <v>208</v>
      </c>
      <c r="C189" s="348" t="s">
        <v>73</v>
      </c>
      <c r="D189" s="385"/>
      <c r="E189" s="353"/>
      <c r="F189" s="338"/>
      <c r="G189" s="337"/>
      <c r="H189" s="338"/>
      <c r="I189" s="337"/>
      <c r="J189" s="668"/>
      <c r="K189" s="353"/>
      <c r="L189" s="337"/>
      <c r="M189" s="358"/>
      <c r="N189" s="337"/>
      <c r="O189" s="459"/>
      <c r="P189" s="574"/>
      <c r="Q189" s="353"/>
      <c r="R189" s="337"/>
      <c r="S189" s="337"/>
      <c r="T189" s="614"/>
      <c r="U189" s="352"/>
      <c r="V189" s="350"/>
      <c r="W189" s="350"/>
      <c r="X189" s="339">
        <f>X188*B122/1000</f>
        <v>1.8</v>
      </c>
      <c r="Y189" s="337"/>
      <c r="Z189" s="356">
        <f>ROUND(E189+G189+I189+K189+L189+M189+N189+O189+Q189+R189+S189+V189+W189+X189+Y189,3)</f>
        <v>1.8</v>
      </c>
      <c r="AA189" s="344">
        <f>Z189*B189</f>
        <v>374.40000000000003</v>
      </c>
      <c r="AB189" s="7"/>
    </row>
    <row r="190" spans="1:28" ht="16.5" thickTop="1">
      <c r="A190" s="133"/>
      <c r="B190" s="121"/>
      <c r="C190" s="77" t="s">
        <v>72</v>
      </c>
      <c r="D190" s="287"/>
      <c r="E190" s="88"/>
      <c r="F190" s="497"/>
      <c r="G190" s="129"/>
      <c r="H190" s="108"/>
      <c r="I190" s="88"/>
      <c r="J190" s="608"/>
      <c r="K190" s="88"/>
      <c r="L190" s="88"/>
      <c r="M190" s="88"/>
      <c r="N190" s="583"/>
      <c r="O190" s="280"/>
      <c r="P190" s="177"/>
      <c r="Q190" s="129"/>
      <c r="R190" s="88"/>
      <c r="S190" s="88"/>
      <c r="T190" s="215"/>
      <c r="U190" s="428">
        <f>8.16/80*U123</f>
        <v>8.16</v>
      </c>
      <c r="V190" s="129">
        <f>U190/U123*V123</f>
        <v>8.16</v>
      </c>
      <c r="W190" s="131"/>
      <c r="X190" s="88"/>
      <c r="Y190" s="88"/>
      <c r="Z190" s="214"/>
      <c r="AA190" s="123"/>
      <c r="AB190" s="7"/>
    </row>
    <row r="191" spans="1:28" ht="16.5" thickBot="1">
      <c r="A191" s="346" t="str">
        <f>A94</f>
        <v>Изюм.</v>
      </c>
      <c r="B191" s="347">
        <f>B94</f>
        <v>292</v>
      </c>
      <c r="C191" s="348" t="s">
        <v>73</v>
      </c>
      <c r="D191" s="385"/>
      <c r="E191" s="350"/>
      <c r="F191" s="363"/>
      <c r="G191" s="350"/>
      <c r="H191" s="349"/>
      <c r="I191" s="350"/>
      <c r="J191" s="569"/>
      <c r="K191" s="350"/>
      <c r="L191" s="350"/>
      <c r="M191" s="350"/>
      <c r="N191" s="341"/>
      <c r="O191" s="420"/>
      <c r="P191" s="349"/>
      <c r="Q191" s="422"/>
      <c r="R191" s="350"/>
      <c r="S191" s="350"/>
      <c r="T191" s="379"/>
      <c r="U191" s="364">
        <f>U190*F122/1000</f>
        <v>0.81599999999999995</v>
      </c>
      <c r="V191" s="341">
        <f>U191</f>
        <v>0.81599999999999995</v>
      </c>
      <c r="W191" s="341"/>
      <c r="X191" s="350"/>
      <c r="Y191" s="350"/>
      <c r="Z191" s="343">
        <f>ROUND(E191+G191+I191+K191+L191+M191+N191+O191+Q191+R191+S191+V191+W191+X191+Y191,2)</f>
        <v>0.82</v>
      </c>
      <c r="AA191" s="344">
        <f>Z191*B191</f>
        <v>239.44</v>
      </c>
      <c r="AB191" s="7"/>
    </row>
    <row r="192" spans="1:28" ht="15.75">
      <c r="A192" s="136"/>
      <c r="B192" s="6"/>
      <c r="C192" s="75"/>
      <c r="D192" s="75"/>
      <c r="E192" s="105"/>
      <c r="F192" s="112"/>
      <c r="G192" s="105"/>
      <c r="H192" s="112"/>
      <c r="I192" s="105"/>
      <c r="J192" s="105"/>
      <c r="K192" s="105"/>
      <c r="L192" s="105"/>
      <c r="M192" s="271"/>
      <c r="N192" s="271"/>
      <c r="O192" s="105"/>
      <c r="P192" s="112"/>
      <c r="Q192" s="105"/>
      <c r="R192" s="105"/>
      <c r="S192" s="105"/>
      <c r="T192" s="105"/>
      <c r="U192" s="593"/>
      <c r="V192" s="271"/>
      <c r="W192" s="271"/>
      <c r="X192" s="105"/>
      <c r="Y192" s="105"/>
      <c r="Z192" s="125"/>
      <c r="AA192" s="696">
        <f>AA125+AA127+AA129+AA131+AA133+AA135+AA137+AA139+AA141+AA143+AA145+AA147+AA157+AA159+AA161+AA163+AA165+AA167+AA169+AA171+AA173+AA175+AA177+AA179+AA181+AA183+AA185+AA187+AA189+AA191</f>
        <v>11473.435600000001</v>
      </c>
      <c r="AB192" s="7"/>
    </row>
    <row r="193" spans="1:27" ht="13.5" thickBot="1">
      <c r="A193" s="43" t="s">
        <v>315</v>
      </c>
      <c r="B193" s="62"/>
      <c r="R193" s="43" t="s">
        <v>30</v>
      </c>
      <c r="S193" s="9"/>
    </row>
    <row r="194" spans="1:27">
      <c r="A194" s="43" t="s">
        <v>37</v>
      </c>
      <c r="R194" s="43" t="s">
        <v>31</v>
      </c>
      <c r="AA194" s="118">
        <f>K110</f>
        <v>11000</v>
      </c>
    </row>
    <row r="195" spans="1:27">
      <c r="A195" s="43" t="s">
        <v>328</v>
      </c>
      <c r="R195" s="43" t="s">
        <v>335</v>
      </c>
    </row>
  </sheetData>
  <mergeCells count="162">
    <mergeCell ref="D55:D57"/>
    <mergeCell ref="D152:D154"/>
    <mergeCell ref="O152:O154"/>
    <mergeCell ref="P152:Q154"/>
    <mergeCell ref="W152:W154"/>
    <mergeCell ref="V118:V120"/>
    <mergeCell ref="X118:X120"/>
    <mergeCell ref="Y118:Y120"/>
    <mergeCell ref="N118:N120"/>
    <mergeCell ref="R118:R120"/>
    <mergeCell ref="V152:V154"/>
    <mergeCell ref="X152:X154"/>
    <mergeCell ref="Y152:Y154"/>
    <mergeCell ref="N152:N154"/>
    <mergeCell ref="R152:R154"/>
    <mergeCell ref="S152:S154"/>
    <mergeCell ref="S118:S120"/>
    <mergeCell ref="U118:U120"/>
    <mergeCell ref="O118:O120"/>
    <mergeCell ref="E152:E154"/>
    <mergeCell ref="F152:G154"/>
    <mergeCell ref="H152:I154"/>
    <mergeCell ref="L152:L154"/>
    <mergeCell ref="M152:M154"/>
    <mergeCell ref="Z149:AA149"/>
    <mergeCell ref="E150:K151"/>
    <mergeCell ref="M150:S151"/>
    <mergeCell ref="U150:Y151"/>
    <mergeCell ref="Z150:AA150"/>
    <mergeCell ref="Z151:AA151"/>
    <mergeCell ref="U152:U154"/>
    <mergeCell ref="T152:T154"/>
    <mergeCell ref="J152:J154"/>
    <mergeCell ref="K152:K154"/>
    <mergeCell ref="E118:E120"/>
    <mergeCell ref="H118:I120"/>
    <mergeCell ref="Z115:AA115"/>
    <mergeCell ref="E116:K117"/>
    <mergeCell ref="M116:S117"/>
    <mergeCell ref="U116:Y117"/>
    <mergeCell ref="Z116:AA116"/>
    <mergeCell ref="Z117:AA117"/>
    <mergeCell ref="F118:F120"/>
    <mergeCell ref="G118:G120"/>
    <mergeCell ref="M118:M120"/>
    <mergeCell ref="P118:P120"/>
    <mergeCell ref="Q118:Q120"/>
    <mergeCell ref="T118:T120"/>
    <mergeCell ref="W118:W120"/>
    <mergeCell ref="J118:J120"/>
    <mergeCell ref="K118:K120"/>
    <mergeCell ref="B106:C106"/>
    <mergeCell ref="E106:G106"/>
    <mergeCell ref="H106:J106"/>
    <mergeCell ref="K106:M106"/>
    <mergeCell ref="B107:C107"/>
    <mergeCell ref="K107:M107"/>
    <mergeCell ref="N110:P110"/>
    <mergeCell ref="N112:P112"/>
    <mergeCell ref="K110:M110"/>
    <mergeCell ref="H110:J110"/>
    <mergeCell ref="B105:C105"/>
    <mergeCell ref="E105:G105"/>
    <mergeCell ref="H105:J105"/>
    <mergeCell ref="K105:M105"/>
    <mergeCell ref="N105:P105"/>
    <mergeCell ref="A103:C103"/>
    <mergeCell ref="E103:G103"/>
    <mergeCell ref="H103:J103"/>
    <mergeCell ref="K103:M103"/>
    <mergeCell ref="A104:C104"/>
    <mergeCell ref="E104:G104"/>
    <mergeCell ref="H104:J104"/>
    <mergeCell ref="K104:M104"/>
    <mergeCell ref="N104:P104"/>
    <mergeCell ref="P100:AA100"/>
    <mergeCell ref="N55:N57"/>
    <mergeCell ref="R55:R57"/>
    <mergeCell ref="S55:S57"/>
    <mergeCell ref="Z104:AA104"/>
    <mergeCell ref="Z103:AA103"/>
    <mergeCell ref="V21:V23"/>
    <mergeCell ref="X21:X23"/>
    <mergeCell ref="Y21:Y23"/>
    <mergeCell ref="N21:N23"/>
    <mergeCell ref="R21:R23"/>
    <mergeCell ref="V55:V57"/>
    <mergeCell ref="X55:X57"/>
    <mergeCell ref="Y55:Y57"/>
    <mergeCell ref="S21:S23"/>
    <mergeCell ref="U21:U23"/>
    <mergeCell ref="O21:O23"/>
    <mergeCell ref="O55:O57"/>
    <mergeCell ref="P55:Q57"/>
    <mergeCell ref="W21:W23"/>
    <mergeCell ref="T21:T23"/>
    <mergeCell ref="T55:T57"/>
    <mergeCell ref="P21:P23"/>
    <mergeCell ref="K21:K23"/>
    <mergeCell ref="E55:E57"/>
    <mergeCell ref="F55:G57"/>
    <mergeCell ref="H55:I57"/>
    <mergeCell ref="L55:L57"/>
    <mergeCell ref="M55:M57"/>
    <mergeCell ref="Z52:AA52"/>
    <mergeCell ref="E53:K54"/>
    <mergeCell ref="M53:S54"/>
    <mergeCell ref="U53:Y54"/>
    <mergeCell ref="Z53:AA53"/>
    <mergeCell ref="Z54:AA54"/>
    <mergeCell ref="U55:U57"/>
    <mergeCell ref="W55:W57"/>
    <mergeCell ref="J55:J57"/>
    <mergeCell ref="K55:K57"/>
    <mergeCell ref="Z18:AA18"/>
    <mergeCell ref="E19:K20"/>
    <mergeCell ref="M19:S20"/>
    <mergeCell ref="U19:Y20"/>
    <mergeCell ref="Z19:AA19"/>
    <mergeCell ref="E21:E23"/>
    <mergeCell ref="H21:I23"/>
    <mergeCell ref="Z20:AA20"/>
    <mergeCell ref="B9:C9"/>
    <mergeCell ref="E9:G9"/>
    <mergeCell ref="H9:J9"/>
    <mergeCell ref="K9:M9"/>
    <mergeCell ref="B10:C10"/>
    <mergeCell ref="K10:M10"/>
    <mergeCell ref="K13:M13"/>
    <mergeCell ref="N15:P15"/>
    <mergeCell ref="N13:P13"/>
    <mergeCell ref="D21:D23"/>
    <mergeCell ref="F21:F23"/>
    <mergeCell ref="G21:G23"/>
    <mergeCell ref="H13:J13"/>
    <mergeCell ref="M21:M23"/>
    <mergeCell ref="Q21:Q23"/>
    <mergeCell ref="J21:J23"/>
    <mergeCell ref="X7:Y7"/>
    <mergeCell ref="R7:W8"/>
    <mergeCell ref="R11:X12"/>
    <mergeCell ref="R104:W105"/>
    <mergeCell ref="X104:Y104"/>
    <mergeCell ref="R108:X109"/>
    <mergeCell ref="D118:D120"/>
    <mergeCell ref="P3:AA3"/>
    <mergeCell ref="A6:C6"/>
    <mergeCell ref="E6:G6"/>
    <mergeCell ref="H6:J6"/>
    <mergeCell ref="K6:M6"/>
    <mergeCell ref="Z6:AA6"/>
    <mergeCell ref="Z7:AA7"/>
    <mergeCell ref="B8:C8"/>
    <mergeCell ref="E8:G8"/>
    <mergeCell ref="H8:J8"/>
    <mergeCell ref="K8:M8"/>
    <mergeCell ref="N8:P8"/>
    <mergeCell ref="A7:C7"/>
    <mergeCell ref="E7:G7"/>
    <mergeCell ref="H7:J7"/>
    <mergeCell ref="K7:M7"/>
    <mergeCell ref="N7:P7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02"/>
  <sheetViews>
    <sheetView showGridLines="0" tabSelected="1" topLeftCell="A42" zoomScale="95" zoomScaleNormal="95" workbookViewId="0">
      <selection activeCell="K192" sqref="K192"/>
    </sheetView>
  </sheetViews>
  <sheetFormatPr defaultRowHeight="12.75"/>
  <cols>
    <col min="1" max="1" width="16.7109375" customWidth="1"/>
    <col min="2" max="2" width="7.5703125" customWidth="1"/>
    <col min="3" max="3" width="4.28515625" customWidth="1"/>
    <col min="4" max="4" width="5.28515625" customWidth="1"/>
    <col min="5" max="5" width="6.7109375" customWidth="1"/>
    <col min="6" max="6" width="5.140625" customWidth="1"/>
    <col min="7" max="7" width="8" customWidth="1"/>
    <col min="8" max="8" width="5.140625" customWidth="1"/>
    <col min="9" max="9" width="7.28515625" customWidth="1"/>
    <col min="10" max="10" width="8.28515625" customWidth="1"/>
    <col min="11" max="11" width="8" customWidth="1"/>
    <col min="12" max="12" width="8.28515625" customWidth="1"/>
    <col min="13" max="13" width="10.5703125" customWidth="1"/>
    <col min="14" max="14" width="0.5703125" customWidth="1"/>
    <col min="15" max="15" width="9.7109375" customWidth="1"/>
    <col min="16" max="16" width="8" customWidth="1"/>
    <col min="17" max="17" width="9.140625" customWidth="1"/>
    <col min="18" max="18" width="7.85546875" customWidth="1"/>
    <col min="19" max="19" width="8" customWidth="1"/>
    <col min="20" max="20" width="7" customWidth="1"/>
    <col min="21" max="21" width="0.42578125" hidden="1" customWidth="1"/>
    <col min="22" max="22" width="0.7109375" customWidth="1"/>
    <col min="23" max="23" width="0.85546875" customWidth="1"/>
    <col min="24" max="24" width="8.5703125" customWidth="1"/>
    <col min="25" max="25" width="7.28515625" customWidth="1"/>
    <col min="26" max="26" width="6.28515625" customWidth="1"/>
    <col min="27" max="27" width="8.140625" customWidth="1"/>
    <col min="28" max="28" width="10.28515625" customWidth="1"/>
    <col min="29" max="29" width="4.7109375" customWidth="1"/>
    <col min="30" max="30" width="9.28515625" customWidth="1"/>
  </cols>
  <sheetData>
    <row r="1" spans="1:34" hidden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7"/>
      <c r="U1" s="7"/>
      <c r="X1" s="10"/>
      <c r="Y1" s="10"/>
      <c r="Z1" s="10"/>
      <c r="AA1" s="11"/>
      <c r="AB1" s="11"/>
      <c r="AC1" s="7"/>
      <c r="AD1" s="7"/>
      <c r="AE1" s="7"/>
      <c r="AF1" s="7"/>
      <c r="AG1" s="7"/>
      <c r="AH1" s="7"/>
    </row>
    <row r="2" spans="1:34" ht="10.5" customHeight="1">
      <c r="A2" s="3" t="s">
        <v>322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7"/>
      <c r="U2" s="7"/>
      <c r="X2" s="10"/>
      <c r="Y2" s="10"/>
      <c r="Z2" s="10"/>
      <c r="AA2" s="11"/>
      <c r="AB2" s="11"/>
      <c r="AC2" s="7"/>
      <c r="AD2" s="7"/>
      <c r="AE2" s="7"/>
      <c r="AF2" s="7"/>
      <c r="AG2" s="7"/>
      <c r="AH2" s="7"/>
    </row>
    <row r="3" spans="1:34" ht="18.75" customHeight="1">
      <c r="A3" s="9" t="s">
        <v>2</v>
      </c>
      <c r="B3" s="8"/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1060" t="s">
        <v>80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15"/>
      <c r="AD3" s="115"/>
      <c r="AE3" s="7"/>
      <c r="AF3" s="7"/>
      <c r="AG3" s="7"/>
      <c r="AH3" s="7"/>
    </row>
    <row r="4" spans="1:34" ht="15.75" customHeight="1">
      <c r="A4" s="757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AC4" s="7"/>
      <c r="AD4" s="7"/>
      <c r="AE4" s="7"/>
      <c r="AF4" s="7"/>
      <c r="AG4" s="7"/>
      <c r="AH4" s="7"/>
    </row>
    <row r="5" spans="1:34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2"/>
      <c r="N5" s="3"/>
      <c r="O5" s="2"/>
      <c r="P5" s="2"/>
      <c r="Q5" s="2"/>
      <c r="R5" s="2"/>
      <c r="S5" s="2"/>
      <c r="T5" s="1"/>
      <c r="U5" s="1"/>
      <c r="V5" s="7"/>
      <c r="W5" s="7"/>
      <c r="X5" s="7"/>
      <c r="Y5" s="7"/>
      <c r="Z5" s="7"/>
      <c r="AC5" s="7"/>
      <c r="AD5" s="7"/>
      <c r="AE5" s="7"/>
      <c r="AF5" s="7"/>
      <c r="AG5" s="7"/>
      <c r="AH5" s="7"/>
    </row>
    <row r="6" spans="1:34" ht="15.75" customHeight="1" thickBot="1">
      <c r="A6" s="1048" t="s">
        <v>42</v>
      </c>
      <c r="B6" s="1048"/>
      <c r="C6" s="1048"/>
      <c r="D6" s="992"/>
      <c r="E6" s="1047" t="s">
        <v>35</v>
      </c>
      <c r="F6" s="1048"/>
      <c r="G6" s="1049"/>
      <c r="H6" s="1047" t="s">
        <v>60</v>
      </c>
      <c r="I6" s="1048"/>
      <c r="J6" s="1049"/>
      <c r="K6" s="1047" t="s">
        <v>58</v>
      </c>
      <c r="L6" s="1048"/>
      <c r="M6" s="1048"/>
      <c r="N6" s="31"/>
      <c r="O6" s="21"/>
      <c r="P6" s="31"/>
      <c r="Q6" s="21"/>
      <c r="R6" s="3"/>
      <c r="S6" s="3"/>
      <c r="T6" s="7"/>
      <c r="U6" s="7"/>
      <c r="V6" s="7"/>
      <c r="W6" s="7"/>
      <c r="X6" s="7"/>
      <c r="Y6" s="7"/>
      <c r="Z6" s="7"/>
      <c r="AA6" s="1088" t="s">
        <v>0</v>
      </c>
      <c r="AB6" s="1089"/>
      <c r="AC6" s="7"/>
      <c r="AD6" s="7"/>
      <c r="AE6" s="7"/>
      <c r="AF6" s="7"/>
      <c r="AG6" s="7"/>
      <c r="AH6" s="7"/>
    </row>
    <row r="7" spans="1:34" ht="11.25" customHeight="1">
      <c r="A7" s="1059" t="s">
        <v>43</v>
      </c>
      <c r="B7" s="1059"/>
      <c r="C7" s="1059"/>
      <c r="D7" s="1001"/>
      <c r="E7" s="1065" t="s">
        <v>34</v>
      </c>
      <c r="F7" s="1066"/>
      <c r="G7" s="1067"/>
      <c r="H7" s="1065" t="s">
        <v>12</v>
      </c>
      <c r="I7" s="1066"/>
      <c r="J7" s="1067"/>
      <c r="K7" s="1065" t="s">
        <v>15</v>
      </c>
      <c r="L7" s="1066"/>
      <c r="M7" s="1108"/>
      <c r="N7" s="1065" t="s">
        <v>14</v>
      </c>
      <c r="O7" s="1067"/>
      <c r="P7" s="1065" t="s">
        <v>55</v>
      </c>
      <c r="Q7" s="1067"/>
      <c r="R7" s="1301" t="s">
        <v>220</v>
      </c>
      <c r="S7" s="1093"/>
      <c r="T7" s="1093"/>
      <c r="U7" s="1093"/>
      <c r="V7" s="1093"/>
      <c r="W7" s="1093"/>
      <c r="X7" s="1061"/>
      <c r="Y7" s="1050" t="s">
        <v>190</v>
      </c>
      <c r="Z7" s="1156"/>
      <c r="AA7" s="1090" t="s">
        <v>23</v>
      </c>
      <c r="AB7" s="1091"/>
      <c r="AC7" s="7"/>
      <c r="AD7" s="7"/>
      <c r="AE7" s="7"/>
      <c r="AF7" s="7"/>
      <c r="AG7" s="7"/>
      <c r="AH7" s="7"/>
    </row>
    <row r="8" spans="1:34" ht="10.5" customHeight="1">
      <c r="A8" s="993" t="s">
        <v>44</v>
      </c>
      <c r="B8" s="1047" t="s">
        <v>46</v>
      </c>
      <c r="C8" s="1048"/>
      <c r="D8" s="1001"/>
      <c r="E8" s="1065" t="s">
        <v>39</v>
      </c>
      <c r="F8" s="1066"/>
      <c r="G8" s="1067"/>
      <c r="H8" s="1065" t="s">
        <v>49</v>
      </c>
      <c r="I8" s="1066"/>
      <c r="J8" s="1067"/>
      <c r="K8" s="1065" t="s">
        <v>59</v>
      </c>
      <c r="L8" s="1066"/>
      <c r="M8" s="1066"/>
      <c r="N8" s="1065" t="s">
        <v>40</v>
      </c>
      <c r="O8" s="1067"/>
      <c r="P8" s="1065" t="s">
        <v>56</v>
      </c>
      <c r="Q8" s="1067"/>
      <c r="R8" s="1302"/>
      <c r="S8" s="1093"/>
      <c r="T8" s="1093"/>
      <c r="U8" s="1093"/>
      <c r="V8" s="1093"/>
      <c r="W8" s="1093"/>
      <c r="X8" s="1061"/>
      <c r="AA8" s="54"/>
      <c r="AB8" s="55"/>
      <c r="AC8" s="7"/>
      <c r="AD8" s="7"/>
      <c r="AE8" s="7"/>
      <c r="AF8" s="7"/>
      <c r="AG8" s="7"/>
      <c r="AH8" s="7"/>
    </row>
    <row r="9" spans="1:34" ht="16.5" customHeight="1">
      <c r="A9" s="1002" t="s">
        <v>45</v>
      </c>
      <c r="B9" s="1065" t="s">
        <v>47</v>
      </c>
      <c r="C9" s="1108"/>
      <c r="D9" s="1013"/>
      <c r="E9" s="1065" t="s">
        <v>38</v>
      </c>
      <c r="F9" s="1066"/>
      <c r="G9" s="1067"/>
      <c r="H9" s="1065" t="s">
        <v>13</v>
      </c>
      <c r="I9" s="1066"/>
      <c r="J9" s="1067"/>
      <c r="K9" s="1065" t="s">
        <v>38</v>
      </c>
      <c r="L9" s="1066"/>
      <c r="M9" s="1066"/>
      <c r="N9" s="25"/>
      <c r="O9" s="3"/>
      <c r="P9" s="1065" t="s">
        <v>57</v>
      </c>
      <c r="Q9" s="1067"/>
      <c r="R9" s="3" t="s">
        <v>194</v>
      </c>
      <c r="S9" s="548"/>
      <c r="T9" s="548"/>
      <c r="U9" s="120"/>
      <c r="V9" s="120"/>
      <c r="W9" s="120"/>
      <c r="X9" s="120"/>
      <c r="Y9" s="120"/>
      <c r="Z9" s="746" t="s">
        <v>191</v>
      </c>
      <c r="AA9" s="120"/>
      <c r="AB9" s="700"/>
      <c r="AC9" s="120"/>
      <c r="AD9" s="120"/>
      <c r="AE9" s="7"/>
      <c r="AF9" s="7"/>
      <c r="AG9" s="7"/>
      <c r="AH9" s="7"/>
    </row>
    <row r="10" spans="1:34" ht="9.75" customHeight="1">
      <c r="A10" s="17"/>
      <c r="B10" s="1058" t="s">
        <v>48</v>
      </c>
      <c r="C10" s="1059"/>
      <c r="D10" s="1001"/>
      <c r="E10" s="1007"/>
      <c r="F10" s="3"/>
      <c r="G10" s="30"/>
      <c r="H10" s="3"/>
      <c r="I10" s="3"/>
      <c r="J10" s="30"/>
      <c r="K10" s="1058"/>
      <c r="L10" s="1059"/>
      <c r="M10" s="1059"/>
      <c r="N10" s="25"/>
      <c r="O10" s="3"/>
      <c r="P10" s="25"/>
      <c r="Q10" s="17"/>
      <c r="S10" s="709" t="s">
        <v>96</v>
      </c>
      <c r="W10" s="120"/>
      <c r="Z10" s="56"/>
      <c r="AA10" s="425"/>
      <c r="AB10" s="55"/>
    </row>
    <row r="11" spans="1:34" ht="11.25" customHeight="1" thickBot="1">
      <c r="A11" s="58">
        <v>1</v>
      </c>
      <c r="B11" s="62"/>
      <c r="C11" s="63">
        <v>2</v>
      </c>
      <c r="D11" s="292"/>
      <c r="E11" s="994"/>
      <c r="F11" s="994">
        <v>3</v>
      </c>
      <c r="G11" s="995"/>
      <c r="H11" s="994"/>
      <c r="I11" s="994">
        <v>4</v>
      </c>
      <c r="J11" s="995"/>
      <c r="K11" s="994"/>
      <c r="L11" s="994"/>
      <c r="M11" s="994">
        <v>5</v>
      </c>
      <c r="N11" s="998"/>
      <c r="O11" s="994"/>
      <c r="P11" s="1104">
        <v>7</v>
      </c>
      <c r="Q11" s="1105"/>
      <c r="R11" s="1074" t="s">
        <v>307</v>
      </c>
      <c r="S11" s="1061"/>
      <c r="T11" s="1061"/>
      <c r="U11" s="1061"/>
      <c r="V11" s="1061"/>
      <c r="W11" s="1061"/>
      <c r="X11" s="1061"/>
      <c r="Y11" s="7"/>
      <c r="Z11" s="699" t="s">
        <v>199</v>
      </c>
      <c r="AA11" s="1025"/>
      <c r="AB11" s="57"/>
      <c r="AC11" s="7"/>
      <c r="AD11" s="7"/>
      <c r="AE11" s="7"/>
      <c r="AF11" s="7"/>
      <c r="AG11" s="7"/>
      <c r="AH11" s="7"/>
    </row>
    <row r="12" spans="1:34" ht="9" customHeight="1">
      <c r="A12" s="37"/>
      <c r="B12" s="38"/>
      <c r="C12" s="38"/>
      <c r="D12" s="38"/>
      <c r="E12" s="38"/>
      <c r="F12" s="38"/>
      <c r="G12" s="39"/>
      <c r="H12" s="38"/>
      <c r="I12" s="38"/>
      <c r="J12" s="39"/>
      <c r="K12" s="38"/>
      <c r="L12" s="38"/>
      <c r="M12" s="38"/>
      <c r="N12" s="40"/>
      <c r="O12" s="39"/>
      <c r="P12" s="41"/>
      <c r="Q12" s="42"/>
      <c r="R12" s="1061"/>
      <c r="S12" s="1061"/>
      <c r="T12" s="1061"/>
      <c r="U12" s="1061"/>
      <c r="V12" s="1061"/>
      <c r="W12" s="1061"/>
      <c r="X12" s="1061"/>
      <c r="Y12" s="217"/>
      <c r="Z12" s="741"/>
      <c r="AA12" s="32"/>
      <c r="AB12" s="56"/>
      <c r="AC12" s="7"/>
      <c r="AD12" s="7"/>
      <c r="AE12" s="7"/>
      <c r="AF12" s="7"/>
      <c r="AG12" s="7"/>
      <c r="AH12" s="7"/>
    </row>
    <row r="13" spans="1:34" ht="18" customHeight="1">
      <c r="A13" s="780" t="s">
        <v>202</v>
      </c>
      <c r="B13" s="28"/>
      <c r="C13" s="28"/>
      <c r="D13" s="28"/>
      <c r="E13" s="28"/>
      <c r="F13" s="28"/>
      <c r="G13" s="218">
        <v>110</v>
      </c>
      <c r="H13" s="28"/>
      <c r="I13" s="140">
        <f>B25</f>
        <v>100</v>
      </c>
      <c r="J13" s="50"/>
      <c r="K13" s="1075">
        <f>G13*I13</f>
        <v>11000</v>
      </c>
      <c r="L13" s="1114"/>
      <c r="M13" s="1069"/>
      <c r="N13" s="1068">
        <f>AB95/B25</f>
        <v>121.33051699999999</v>
      </c>
      <c r="O13" s="1069"/>
      <c r="P13" s="14"/>
      <c r="Q13" s="52"/>
      <c r="R13" s="3"/>
      <c r="S13" s="710" t="s">
        <v>308</v>
      </c>
      <c r="T13" s="2"/>
      <c r="U13" s="538"/>
      <c r="V13" s="7"/>
      <c r="W13" s="7"/>
      <c r="X13" s="7"/>
      <c r="Y13" s="7"/>
      <c r="Z13" s="610"/>
      <c r="AA13" s="1025"/>
      <c r="AB13" s="742"/>
      <c r="AC13" s="7"/>
      <c r="AD13" s="7"/>
      <c r="AE13" s="7"/>
      <c r="AF13" s="7"/>
      <c r="AG13" s="7"/>
      <c r="AH13" s="7"/>
    </row>
    <row r="14" spans="1:34" ht="8.25" customHeight="1" thickBot="1">
      <c r="A14" s="766"/>
      <c r="B14" s="48"/>
      <c r="C14" s="45"/>
      <c r="D14" s="45"/>
      <c r="E14" s="45"/>
      <c r="F14" s="45"/>
      <c r="G14" s="49"/>
      <c r="H14" s="45"/>
      <c r="I14" s="45"/>
      <c r="J14" s="49"/>
      <c r="K14" s="28"/>
      <c r="L14" s="28"/>
      <c r="M14" s="28"/>
      <c r="N14" s="51"/>
      <c r="O14" s="27"/>
      <c r="P14" s="14"/>
      <c r="Q14" s="52"/>
      <c r="R14" s="3"/>
      <c r="S14" s="3"/>
      <c r="T14" s="7"/>
      <c r="U14" s="7"/>
      <c r="AA14" s="54"/>
      <c r="AB14" s="56"/>
      <c r="AC14" s="7"/>
      <c r="AD14" s="7"/>
      <c r="AE14" s="7"/>
      <c r="AF14" s="7"/>
      <c r="AG14" s="7"/>
      <c r="AH14" s="7"/>
    </row>
    <row r="15" spans="1:34" ht="15.75" customHeight="1" thickBot="1">
      <c r="A15" s="769"/>
      <c r="B15" s="38"/>
      <c r="C15" s="38"/>
      <c r="D15" s="38"/>
      <c r="E15" s="38"/>
      <c r="F15" s="38"/>
      <c r="G15" s="38"/>
      <c r="H15" s="38"/>
      <c r="I15" s="3" t="s">
        <v>33</v>
      </c>
      <c r="J15" s="42"/>
      <c r="K15" s="45"/>
      <c r="L15" s="45"/>
      <c r="M15" s="45"/>
      <c r="N15" s="1116">
        <f>N13*B25</f>
        <v>12133.051699999998</v>
      </c>
      <c r="O15" s="1226"/>
      <c r="P15" s="46"/>
      <c r="Q15" s="47"/>
      <c r="R15" s="3" t="s">
        <v>193</v>
      </c>
      <c r="S15" s="7"/>
      <c r="T15" s="7"/>
      <c r="U15" s="549"/>
      <c r="V15" s="711" t="s">
        <v>309</v>
      </c>
      <c r="AA15" s="66"/>
      <c r="AB15" s="67"/>
      <c r="AC15" s="7"/>
      <c r="AD15" s="7"/>
      <c r="AE15" s="7"/>
      <c r="AF15" s="7"/>
      <c r="AG15" s="7"/>
      <c r="AH15" s="7"/>
    </row>
    <row r="16" spans="1:34" ht="11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8"/>
      <c r="L16" s="38"/>
      <c r="M16" s="38"/>
      <c r="N16" s="38"/>
      <c r="O16" s="38"/>
      <c r="P16" s="41"/>
      <c r="Q16" s="38"/>
      <c r="R16" s="3"/>
      <c r="S16" s="3"/>
      <c r="T16" s="7"/>
      <c r="U16" s="7"/>
      <c r="AC16" s="7"/>
      <c r="AD16" s="7"/>
      <c r="AE16" s="7"/>
      <c r="AF16" s="7"/>
      <c r="AG16" s="7"/>
      <c r="AH16" s="7"/>
    </row>
    <row r="17" spans="1:34" ht="8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7"/>
      <c r="V17" s="7"/>
      <c r="W17" s="7"/>
      <c r="X17" s="7"/>
      <c r="Y17" s="7"/>
      <c r="Z17" s="7"/>
      <c r="AA17" s="8"/>
      <c r="AB17" s="8"/>
      <c r="AC17" s="7"/>
      <c r="AD17" s="7"/>
      <c r="AE17" s="7"/>
      <c r="AF17" s="7"/>
      <c r="AG17" s="7"/>
      <c r="AH17" s="7"/>
    </row>
    <row r="18" spans="1:34" ht="12" customHeight="1">
      <c r="A18" s="26" t="s">
        <v>53</v>
      </c>
      <c r="B18" s="20"/>
      <c r="C18" s="65"/>
      <c r="D18" s="488"/>
      <c r="E18" s="14"/>
      <c r="F18" s="14"/>
      <c r="G18" s="14"/>
      <c r="H18" s="14"/>
      <c r="I18" s="14"/>
      <c r="J18" s="14"/>
      <c r="K18" s="14"/>
      <c r="L18" s="14"/>
      <c r="M18" s="14"/>
      <c r="N18" s="28" t="s">
        <v>41</v>
      </c>
      <c r="O18" s="14"/>
      <c r="P18" s="14"/>
      <c r="Q18" s="14"/>
      <c r="R18" s="14"/>
      <c r="S18" s="28"/>
      <c r="T18" s="28"/>
      <c r="U18" s="28"/>
      <c r="V18" s="14"/>
      <c r="W18" s="14"/>
      <c r="X18" s="14"/>
      <c r="Y18" s="14"/>
      <c r="Z18" s="14"/>
      <c r="AA18" s="1047" t="s">
        <v>8</v>
      </c>
      <c r="AB18" s="1048"/>
      <c r="AC18" s="7"/>
      <c r="AD18" s="7"/>
      <c r="AE18" s="7"/>
      <c r="AF18" s="7"/>
      <c r="AG18" s="7"/>
      <c r="AH18" s="7"/>
    </row>
    <row r="19" spans="1:34" ht="10.5" customHeight="1">
      <c r="A19" s="993"/>
      <c r="B19" s="19"/>
      <c r="C19" s="70" t="s">
        <v>52</v>
      </c>
      <c r="D19" s="1001"/>
      <c r="E19" s="1052" t="s">
        <v>184</v>
      </c>
      <c r="F19" s="1084"/>
      <c r="G19" s="1084"/>
      <c r="H19" s="1084"/>
      <c r="I19" s="1084"/>
      <c r="J19" s="1084"/>
      <c r="K19" s="1084"/>
      <c r="L19" s="1015"/>
      <c r="M19" s="1052" t="s">
        <v>16</v>
      </c>
      <c r="N19" s="1052"/>
      <c r="O19" s="1052"/>
      <c r="P19" s="1052"/>
      <c r="Q19" s="1052"/>
      <c r="R19" s="1052"/>
      <c r="S19" s="1052"/>
      <c r="T19" s="1087"/>
      <c r="U19" s="994"/>
      <c r="V19" s="1056" t="s">
        <v>17</v>
      </c>
      <c r="W19" s="1052"/>
      <c r="X19" s="1052"/>
      <c r="Y19" s="1052"/>
      <c r="Z19" s="1052"/>
      <c r="AA19" s="1062" t="s">
        <v>3</v>
      </c>
      <c r="AB19" s="1059"/>
      <c r="AC19" s="7"/>
      <c r="AD19" s="7"/>
      <c r="AE19" s="7"/>
      <c r="AF19" s="7"/>
      <c r="AG19" s="7"/>
      <c r="AH19" s="7"/>
    </row>
    <row r="20" spans="1:34" ht="2.25" customHeight="1">
      <c r="A20" s="1002"/>
      <c r="B20" s="5"/>
      <c r="C20" s="5" t="s">
        <v>51</v>
      </c>
      <c r="D20" s="1001"/>
      <c r="E20" s="1054"/>
      <c r="F20" s="1054"/>
      <c r="G20" s="1054"/>
      <c r="H20" s="1054"/>
      <c r="I20" s="1054"/>
      <c r="J20" s="1054"/>
      <c r="K20" s="1054"/>
      <c r="L20" s="1016"/>
      <c r="M20" s="1054"/>
      <c r="N20" s="1054"/>
      <c r="O20" s="1054"/>
      <c r="P20" s="1054"/>
      <c r="Q20" s="1054"/>
      <c r="R20" s="1054"/>
      <c r="S20" s="1054"/>
      <c r="T20" s="1086"/>
      <c r="U20" s="996"/>
      <c r="V20" s="1057"/>
      <c r="W20" s="1054"/>
      <c r="X20" s="1054"/>
      <c r="Y20" s="1054"/>
      <c r="Z20" s="1054"/>
      <c r="AA20" s="1047" t="s">
        <v>36</v>
      </c>
      <c r="AB20" s="1048"/>
      <c r="AC20" s="8"/>
      <c r="AD20" s="7"/>
      <c r="AE20" s="7"/>
      <c r="AF20" s="7"/>
      <c r="AG20" s="7"/>
      <c r="AH20" s="7"/>
    </row>
    <row r="21" spans="1:34" ht="10.5" customHeight="1">
      <c r="A21" s="1002" t="s">
        <v>54</v>
      </c>
      <c r="B21" s="5"/>
      <c r="C21" s="70" t="s">
        <v>9</v>
      </c>
      <c r="D21" s="1041" t="s">
        <v>282</v>
      </c>
      <c r="E21" s="1233" t="s">
        <v>300</v>
      </c>
      <c r="F21" s="1078" t="s">
        <v>158</v>
      </c>
      <c r="G21" s="1123" t="s">
        <v>283</v>
      </c>
      <c r="H21" s="1107" t="s">
        <v>234</v>
      </c>
      <c r="I21" s="1157"/>
      <c r="J21" s="1003"/>
      <c r="K21" s="1020"/>
      <c r="L21" s="1012"/>
      <c r="M21" s="1070" t="s">
        <v>285</v>
      </c>
      <c r="N21" s="1012"/>
      <c r="O21" s="1070" t="s">
        <v>286</v>
      </c>
      <c r="P21" s="1107" t="s">
        <v>287</v>
      </c>
      <c r="Q21" s="1227" t="s">
        <v>288</v>
      </c>
      <c r="R21" s="1044" t="s">
        <v>301</v>
      </c>
      <c r="S21" s="1107" t="s">
        <v>189</v>
      </c>
      <c r="T21" s="1070" t="s">
        <v>68</v>
      </c>
      <c r="U21" s="1012"/>
      <c r="V21" s="1107"/>
      <c r="W21" s="1012"/>
      <c r="X21" s="1070" t="s">
        <v>289</v>
      </c>
      <c r="Y21" s="1070" t="s">
        <v>229</v>
      </c>
      <c r="Z21" s="1070"/>
      <c r="AA21" s="852"/>
      <c r="AB21" s="1019"/>
      <c r="AC21" s="7"/>
      <c r="AD21" s="7"/>
      <c r="AE21" s="7"/>
      <c r="AF21" s="7"/>
      <c r="AG21" s="7"/>
      <c r="AH21" s="7"/>
    </row>
    <row r="22" spans="1:34" ht="10.5" customHeight="1">
      <c r="A22" s="1002"/>
      <c r="B22" s="5"/>
      <c r="C22" s="70" t="s">
        <v>10</v>
      </c>
      <c r="D22" s="1042"/>
      <c r="E22" s="1234"/>
      <c r="F22" s="1079"/>
      <c r="G22" s="1124"/>
      <c r="H22" s="1160"/>
      <c r="I22" s="1158"/>
      <c r="J22" s="1004"/>
      <c r="K22" s="1021"/>
      <c r="L22" s="1022"/>
      <c r="M22" s="1071"/>
      <c r="N22" s="1022"/>
      <c r="O22" s="1071"/>
      <c r="P22" s="1160"/>
      <c r="Q22" s="1228"/>
      <c r="R22" s="1045"/>
      <c r="S22" s="1160"/>
      <c r="T22" s="1071"/>
      <c r="U22" s="1022"/>
      <c r="V22" s="1160"/>
      <c r="W22" s="1022"/>
      <c r="X22" s="1071"/>
      <c r="Y22" s="1071"/>
      <c r="Z22" s="1071"/>
      <c r="AA22" s="19" t="s">
        <v>6</v>
      </c>
      <c r="AB22" s="1001" t="s">
        <v>4</v>
      </c>
      <c r="AC22" s="7"/>
      <c r="AD22" s="7"/>
      <c r="AE22" s="7"/>
      <c r="AF22" s="7"/>
      <c r="AG22" s="7"/>
      <c r="AH22" s="7"/>
    </row>
    <row r="23" spans="1:34" ht="93.75" customHeight="1">
      <c r="A23" s="1006"/>
      <c r="B23" s="4"/>
      <c r="C23" s="71"/>
      <c r="D23" s="1043"/>
      <c r="E23" s="1235"/>
      <c r="F23" s="1080"/>
      <c r="G23" s="1125"/>
      <c r="H23" s="1161"/>
      <c r="I23" s="1159"/>
      <c r="J23" s="1005" t="s">
        <v>171</v>
      </c>
      <c r="K23" s="1004" t="s">
        <v>284</v>
      </c>
      <c r="L23" s="1023" t="s">
        <v>137</v>
      </c>
      <c r="M23" s="1072"/>
      <c r="N23" s="1023"/>
      <c r="O23" s="1072"/>
      <c r="P23" s="1161"/>
      <c r="Q23" s="1229"/>
      <c r="R23" s="1046"/>
      <c r="S23" s="1161"/>
      <c r="T23" s="1072"/>
      <c r="U23" s="1023"/>
      <c r="V23" s="1161"/>
      <c r="W23" s="1023"/>
      <c r="X23" s="1072"/>
      <c r="Y23" s="1072"/>
      <c r="Z23" s="1072"/>
      <c r="AA23" s="4" t="s">
        <v>7</v>
      </c>
      <c r="AB23" s="1000" t="s">
        <v>5</v>
      </c>
      <c r="AC23" s="7"/>
      <c r="AD23" s="7"/>
      <c r="AE23" s="7"/>
      <c r="AF23" s="7"/>
      <c r="AG23" s="7"/>
      <c r="AH23" s="7"/>
    </row>
    <row r="24" spans="1:34" ht="11.25" customHeight="1">
      <c r="A24" s="64">
        <v>1</v>
      </c>
      <c r="B24" s="1024">
        <v>2</v>
      </c>
      <c r="C24" s="72">
        <v>3</v>
      </c>
      <c r="D24" s="86"/>
      <c r="E24" s="80">
        <v>4</v>
      </c>
      <c r="F24" s="86">
        <v>5</v>
      </c>
      <c r="G24" s="1009">
        <v>6</v>
      </c>
      <c r="H24" s="87">
        <v>7</v>
      </c>
      <c r="I24" s="80">
        <v>8</v>
      </c>
      <c r="J24" s="81">
        <v>9</v>
      </c>
      <c r="K24" s="98">
        <v>10</v>
      </c>
      <c r="L24" s="96">
        <v>11</v>
      </c>
      <c r="M24" s="81">
        <v>12</v>
      </c>
      <c r="N24" s="82">
        <v>13</v>
      </c>
      <c r="O24" s="93">
        <v>14</v>
      </c>
      <c r="P24" s="97">
        <v>15</v>
      </c>
      <c r="Q24" s="93">
        <v>16</v>
      </c>
      <c r="R24" s="80"/>
      <c r="S24" s="96">
        <v>17</v>
      </c>
      <c r="T24" s="98">
        <v>18</v>
      </c>
      <c r="U24" s="96"/>
      <c r="V24" s="80">
        <v>19</v>
      </c>
      <c r="W24" s="80"/>
      <c r="X24" s="96">
        <v>20</v>
      </c>
      <c r="Y24" s="81">
        <v>21</v>
      </c>
      <c r="Z24" s="96">
        <v>22</v>
      </c>
      <c r="AA24" s="35">
        <v>30</v>
      </c>
      <c r="AB24" s="1008">
        <v>31</v>
      </c>
      <c r="AC24" s="7"/>
      <c r="AD24" s="7"/>
      <c r="AE24" s="7"/>
      <c r="AF24" s="7"/>
      <c r="AG24" s="7"/>
      <c r="AH24" s="7"/>
    </row>
    <row r="25" spans="1:34" ht="15.95" customHeight="1">
      <c r="A25" s="16" t="s">
        <v>18</v>
      </c>
      <c r="B25" s="221">
        <v>100</v>
      </c>
      <c r="C25" s="73"/>
      <c r="D25" s="89">
        <f>F25</f>
        <v>100</v>
      </c>
      <c r="E25" s="99">
        <f>B25</f>
        <v>100</v>
      </c>
      <c r="F25" s="222">
        <v>100</v>
      </c>
      <c r="G25" s="99">
        <f>B25</f>
        <v>100</v>
      </c>
      <c r="H25" s="89">
        <f>F25</f>
        <v>100</v>
      </c>
      <c r="I25" s="99">
        <f>B25</f>
        <v>100</v>
      </c>
      <c r="J25" s="471">
        <f>B25</f>
        <v>100</v>
      </c>
      <c r="K25" s="99">
        <f>B25</f>
        <v>100</v>
      </c>
      <c r="L25" s="99">
        <f>B25</f>
        <v>100</v>
      </c>
      <c r="M25" s="99">
        <f>B25</f>
        <v>100</v>
      </c>
      <c r="N25" s="677"/>
      <c r="O25" s="99">
        <f>B25</f>
        <v>100</v>
      </c>
      <c r="P25" s="109">
        <f>F25</f>
        <v>100</v>
      </c>
      <c r="Q25" s="99">
        <f>B25</f>
        <v>100</v>
      </c>
      <c r="R25" s="99">
        <f>B25</f>
        <v>100</v>
      </c>
      <c r="S25" s="99">
        <f>B25</f>
        <v>100</v>
      </c>
      <c r="T25" s="99">
        <f>B25</f>
        <v>100</v>
      </c>
      <c r="U25" s="99"/>
      <c r="V25" s="99"/>
      <c r="W25" s="248"/>
      <c r="X25" s="99">
        <f>B25</f>
        <v>100</v>
      </c>
      <c r="Y25" s="99">
        <f>B25</f>
        <v>100</v>
      </c>
      <c r="Z25" s="99"/>
      <c r="AA25" s="12" t="s">
        <v>66</v>
      </c>
      <c r="AB25" s="68" t="s">
        <v>64</v>
      </c>
      <c r="AC25" s="7"/>
      <c r="AD25" s="7"/>
      <c r="AE25" s="7"/>
      <c r="AF25" s="7"/>
      <c r="AG25" s="7"/>
    </row>
    <row r="26" spans="1:34" ht="15.95" customHeight="1" thickBot="1">
      <c r="A26" s="59" t="s">
        <v>19</v>
      </c>
      <c r="B26" s="60"/>
      <c r="C26" s="74"/>
      <c r="D26" s="91">
        <v>25</v>
      </c>
      <c r="E26" s="119">
        <f>D26*D25/B25</f>
        <v>25</v>
      </c>
      <c r="F26" s="91">
        <v>156</v>
      </c>
      <c r="G26" s="119">
        <f>F26*F25/B25</f>
        <v>156</v>
      </c>
      <c r="H26" s="91">
        <v>180</v>
      </c>
      <c r="I26" s="119">
        <f>H26*H25/B25</f>
        <v>180</v>
      </c>
      <c r="J26" s="643">
        <f>J72/B25*1000</f>
        <v>40</v>
      </c>
      <c r="K26" s="119">
        <f>K52/B25*1000</f>
        <v>100</v>
      </c>
      <c r="L26" s="119">
        <v>50</v>
      </c>
      <c r="M26" s="119">
        <v>200</v>
      </c>
      <c r="N26" s="138"/>
      <c r="O26" s="119">
        <f>O40/B25*1000</f>
        <v>10</v>
      </c>
      <c r="P26" s="111">
        <v>100</v>
      </c>
      <c r="Q26" s="119">
        <f>P26*P25/B25</f>
        <v>100</v>
      </c>
      <c r="R26" s="119">
        <v>130</v>
      </c>
      <c r="S26" s="100">
        <v>180</v>
      </c>
      <c r="T26" s="119">
        <f>T74/B25*1000</f>
        <v>40</v>
      </c>
      <c r="U26" s="119"/>
      <c r="V26" s="119"/>
      <c r="W26" s="249"/>
      <c r="X26" s="119">
        <v>80</v>
      </c>
      <c r="Y26" s="119">
        <f>Y36/B25/1.05*1000</f>
        <v>179.99999999999997</v>
      </c>
      <c r="Z26" s="119"/>
      <c r="AA26" s="61"/>
      <c r="AB26" s="69"/>
      <c r="AC26" s="7"/>
      <c r="AD26" s="7"/>
      <c r="AE26" s="7"/>
      <c r="AF26" s="7"/>
      <c r="AG26" s="7"/>
    </row>
    <row r="27" spans="1:34" ht="15" customHeight="1" thickTop="1">
      <c r="A27" s="133"/>
      <c r="B27" s="5" t="s">
        <v>65</v>
      </c>
      <c r="C27" s="77" t="s">
        <v>72</v>
      </c>
      <c r="D27" s="287"/>
      <c r="E27" s="88"/>
      <c r="F27" s="92"/>
      <c r="G27" s="88"/>
      <c r="H27" s="107"/>
      <c r="I27" s="88"/>
      <c r="J27" s="608"/>
      <c r="K27" s="88"/>
      <c r="L27" s="88"/>
      <c r="M27" s="88"/>
      <c r="N27" s="264"/>
      <c r="O27" s="88"/>
      <c r="P27" s="108">
        <f>88.3/100*P26</f>
        <v>88.3</v>
      </c>
      <c r="Q27" s="129">
        <f>P27/P26*Q26</f>
        <v>88.3</v>
      </c>
      <c r="R27" s="129"/>
      <c r="S27" s="88"/>
      <c r="T27" s="88"/>
      <c r="U27" s="88"/>
      <c r="V27" s="88"/>
      <c r="W27" s="88"/>
      <c r="X27" s="88"/>
      <c r="Y27" s="88"/>
      <c r="Z27" s="88"/>
      <c r="AA27" s="78"/>
      <c r="AB27" s="79"/>
      <c r="AC27" s="7"/>
      <c r="AD27" s="126"/>
      <c r="AE27" s="7"/>
      <c r="AF27" s="7"/>
      <c r="AG27" s="7"/>
    </row>
    <row r="28" spans="1:34" ht="15.75" customHeight="1" thickBot="1">
      <c r="A28" s="634" t="s">
        <v>292</v>
      </c>
      <c r="B28" s="347">
        <v>470.6</v>
      </c>
      <c r="C28" s="348" t="s">
        <v>73</v>
      </c>
      <c r="D28" s="385"/>
      <c r="E28" s="350"/>
      <c r="F28" s="363"/>
      <c r="G28" s="350"/>
      <c r="H28" s="349"/>
      <c r="I28" s="350"/>
      <c r="J28" s="569"/>
      <c r="K28" s="350"/>
      <c r="L28" s="350"/>
      <c r="M28" s="350"/>
      <c r="N28" s="360"/>
      <c r="O28" s="350"/>
      <c r="P28" s="349">
        <f>P27*P25/1000</f>
        <v>8.83</v>
      </c>
      <c r="Q28" s="341">
        <f>P28</f>
        <v>8.83</v>
      </c>
      <c r="R28" s="372"/>
      <c r="S28" s="350"/>
      <c r="T28" s="350"/>
      <c r="U28" s="350"/>
      <c r="V28" s="350"/>
      <c r="W28" s="350"/>
      <c r="X28" s="350"/>
      <c r="Y28" s="350"/>
      <c r="Z28" s="350"/>
      <c r="AA28" s="343">
        <f>ROUND(E28+G28+I28+K28+L28+M28+N28+O28+Q28+S28+T28+U28+V28+X28+Y28+Z28,2)</f>
        <v>8.83</v>
      </c>
      <c r="AB28" s="368">
        <f>AA28*B28</f>
        <v>4155.3980000000001</v>
      </c>
      <c r="AC28" s="7"/>
      <c r="AD28" s="229">
        <f>AA28+AA127</f>
        <v>15.879999999999999</v>
      </c>
      <c r="AE28" s="7" t="str">
        <f>A28</f>
        <v>Мясо гов. мор.</v>
      </c>
      <c r="AF28" s="7"/>
      <c r="AG28" s="7"/>
    </row>
    <row r="29" spans="1:34" ht="12" customHeight="1" thickTop="1">
      <c r="A29" s="133"/>
      <c r="B29" s="121"/>
      <c r="C29" s="77" t="s">
        <v>72</v>
      </c>
      <c r="D29" s="287"/>
      <c r="E29" s="88"/>
      <c r="F29" s="90"/>
      <c r="G29" s="88"/>
      <c r="H29" s="108"/>
      <c r="I29" s="88"/>
      <c r="J29" s="608"/>
      <c r="K29" s="88"/>
      <c r="L29" s="88"/>
      <c r="M29" s="129"/>
      <c r="N29" s="108"/>
      <c r="O29" s="129"/>
      <c r="P29" s="177"/>
      <c r="Q29" s="129"/>
      <c r="R29" s="129"/>
      <c r="S29" s="88"/>
      <c r="T29" s="88"/>
      <c r="U29" s="88"/>
      <c r="V29" s="88"/>
      <c r="W29" s="88"/>
      <c r="X29" s="88"/>
      <c r="Y29" s="88"/>
      <c r="Z29" s="88"/>
      <c r="AA29" s="213"/>
      <c r="AB29" s="123"/>
      <c r="AC29" s="7"/>
      <c r="AD29" s="123"/>
      <c r="AE29" s="7"/>
      <c r="AF29" s="7"/>
      <c r="AG29" s="7"/>
    </row>
    <row r="30" spans="1:34" ht="15.75" customHeight="1" thickBot="1">
      <c r="A30" s="346"/>
      <c r="B30" s="347"/>
      <c r="C30" s="348" t="s">
        <v>73</v>
      </c>
      <c r="D30" s="385"/>
      <c r="E30" s="350"/>
      <c r="F30" s="363"/>
      <c r="G30" s="350"/>
      <c r="H30" s="349"/>
      <c r="I30" s="350"/>
      <c r="J30" s="569"/>
      <c r="K30" s="350"/>
      <c r="L30" s="350"/>
      <c r="M30" s="341"/>
      <c r="N30" s="349"/>
      <c r="O30" s="341"/>
      <c r="P30" s="349"/>
      <c r="Q30" s="350"/>
      <c r="R30" s="350"/>
      <c r="S30" s="350"/>
      <c r="T30" s="350"/>
      <c r="U30" s="350"/>
      <c r="V30" s="350"/>
      <c r="W30" s="341"/>
      <c r="X30" s="350"/>
      <c r="Y30" s="350"/>
      <c r="Z30" s="350"/>
      <c r="AA30" s="343">
        <f>ROUND(E30+G30+I30+K30+L30+M30+O30+Q30+S30+T30+U30+V30+X30+Y30+Z30,2)</f>
        <v>0</v>
      </c>
      <c r="AB30" s="368">
        <f>AA30*B30</f>
        <v>0</v>
      </c>
      <c r="AC30" s="7"/>
      <c r="AD30" s="229">
        <f>AA30+AA129</f>
        <v>0</v>
      </c>
      <c r="AE30" s="7">
        <f>A30</f>
        <v>0</v>
      </c>
      <c r="AF30" s="7"/>
      <c r="AG30" s="7"/>
    </row>
    <row r="31" spans="1:34" ht="13.5" customHeight="1" thickTop="1">
      <c r="A31" s="133"/>
      <c r="B31" s="121"/>
      <c r="C31" s="77" t="s">
        <v>72</v>
      </c>
      <c r="D31" s="306">
        <v>5</v>
      </c>
      <c r="E31" s="129">
        <f>D31/D26*E26</f>
        <v>5</v>
      </c>
      <c r="F31" s="90">
        <v>3</v>
      </c>
      <c r="G31" s="129">
        <f>F31/F26*G26</f>
        <v>3</v>
      </c>
      <c r="H31" s="108"/>
      <c r="I31" s="88"/>
      <c r="J31" s="608"/>
      <c r="K31" s="88"/>
      <c r="L31" s="88"/>
      <c r="M31" s="88"/>
      <c r="N31" s="264"/>
      <c r="O31" s="131"/>
      <c r="P31" s="108">
        <f>1/100*P26</f>
        <v>1</v>
      </c>
      <c r="Q31" s="129">
        <f>P31/P26*Q26</f>
        <v>1</v>
      </c>
      <c r="R31" s="131">
        <v>2.6</v>
      </c>
      <c r="S31" s="88"/>
      <c r="T31" s="88"/>
      <c r="U31" s="88"/>
      <c r="V31" s="131"/>
      <c r="W31" s="113"/>
      <c r="X31" s="131">
        <v>3</v>
      </c>
      <c r="Y31" s="88"/>
      <c r="Z31" s="88"/>
      <c r="AA31" s="214"/>
      <c r="AB31" s="123"/>
      <c r="AC31" s="7"/>
      <c r="AD31" s="123"/>
      <c r="AE31" s="7"/>
      <c r="AF31" s="7"/>
      <c r="AG31" s="7"/>
      <c r="AH31" s="624"/>
    </row>
    <row r="32" spans="1:34" ht="16.5" customHeight="1" thickBot="1">
      <c r="A32" s="346" t="s">
        <v>79</v>
      </c>
      <c r="B32" s="347">
        <v>595</v>
      </c>
      <c r="C32" s="348" t="s">
        <v>73</v>
      </c>
      <c r="D32" s="501">
        <f>ROUND(D31*F25/1000,2)</f>
        <v>0.5</v>
      </c>
      <c r="E32" s="341">
        <f>D32</f>
        <v>0.5</v>
      </c>
      <c r="F32" s="363">
        <f>F31*F25/1000</f>
        <v>0.3</v>
      </c>
      <c r="G32" s="341">
        <f>ROUND(F32,2)</f>
        <v>0.3</v>
      </c>
      <c r="H32" s="349"/>
      <c r="I32" s="350"/>
      <c r="J32" s="569"/>
      <c r="K32" s="350"/>
      <c r="L32" s="350"/>
      <c r="M32" s="350"/>
      <c r="N32" s="361"/>
      <c r="O32" s="350"/>
      <c r="P32" s="349">
        <f>P31*P25/1000</f>
        <v>0.1</v>
      </c>
      <c r="Q32" s="341">
        <f>ROUND(P32,2)</f>
        <v>0.1</v>
      </c>
      <c r="R32" s="341">
        <f>ROUND(R31*B25/1000,2)</f>
        <v>0.26</v>
      </c>
      <c r="S32" s="350"/>
      <c r="T32" s="350"/>
      <c r="U32" s="350"/>
      <c r="V32" s="341">
        <f>ROUND(V31*F25/1000,2)</f>
        <v>0</v>
      </c>
      <c r="W32" s="378"/>
      <c r="X32" s="341">
        <f>ROUND(X31*B25/1000,2)</f>
        <v>0.3</v>
      </c>
      <c r="Y32" s="350"/>
      <c r="Z32" s="350"/>
      <c r="AA32" s="343">
        <f>ROUND(E32+G32+I32+K32+L32+M32+N32+O32+Q32+R32+S32+T32+U32+V32+X32+Y32+Z32,2)</f>
        <v>1.46</v>
      </c>
      <c r="AB32" s="344">
        <f>AA32*B32</f>
        <v>868.69999999999993</v>
      </c>
      <c r="AC32" s="7"/>
      <c r="AD32" s="229">
        <f t="shared" ref="AD32:AD52" si="0">AA32+AA131</f>
        <v>2.7800000000000002</v>
      </c>
      <c r="AE32" s="7" t="str">
        <f>A32</f>
        <v>Масло слив.</v>
      </c>
      <c r="AF32" s="7"/>
      <c r="AG32" s="7"/>
      <c r="AH32" s="7"/>
    </row>
    <row r="33" spans="1:34" ht="12" customHeight="1" thickTop="1">
      <c r="A33" s="133"/>
      <c r="B33" s="121"/>
      <c r="C33" s="77" t="s">
        <v>72</v>
      </c>
      <c r="D33" s="287"/>
      <c r="E33" s="88"/>
      <c r="F33" s="90"/>
      <c r="G33" s="88"/>
      <c r="H33" s="108"/>
      <c r="I33" s="88"/>
      <c r="J33" s="608"/>
      <c r="K33" s="88"/>
      <c r="L33" s="130">
        <v>3</v>
      </c>
      <c r="M33" s="130">
        <v>4</v>
      </c>
      <c r="N33" s="263"/>
      <c r="O33" s="131"/>
      <c r="P33" s="177"/>
      <c r="Q33" s="129"/>
      <c r="R33" s="114"/>
      <c r="S33" s="88"/>
      <c r="T33" s="88"/>
      <c r="U33" s="88"/>
      <c r="V33" s="88"/>
      <c r="W33" s="113"/>
      <c r="X33" s="130">
        <v>0.38</v>
      </c>
      <c r="Y33" s="88"/>
      <c r="Z33" s="88"/>
      <c r="AA33" s="214"/>
      <c r="AB33" s="123"/>
      <c r="AC33" s="7"/>
      <c r="AD33" s="123"/>
      <c r="AE33" s="7"/>
      <c r="AF33" s="7"/>
      <c r="AG33" s="7"/>
      <c r="AH33" s="7"/>
    </row>
    <row r="34" spans="1:34" ht="15.75" customHeight="1" thickBot="1">
      <c r="A34" s="346" t="s">
        <v>78</v>
      </c>
      <c r="B34" s="347">
        <v>104.42</v>
      </c>
      <c r="C34" s="348" t="s">
        <v>73</v>
      </c>
      <c r="D34" s="385"/>
      <c r="E34" s="350"/>
      <c r="F34" s="363"/>
      <c r="G34" s="350"/>
      <c r="H34" s="349"/>
      <c r="I34" s="350"/>
      <c r="J34" s="569"/>
      <c r="K34" s="350"/>
      <c r="L34" s="339">
        <f>L33*B25/1000</f>
        <v>0.3</v>
      </c>
      <c r="M34" s="339">
        <f>M33*B25/1000</f>
        <v>0.4</v>
      </c>
      <c r="N34" s="360"/>
      <c r="O34" s="341"/>
      <c r="P34" s="349"/>
      <c r="Q34" s="350"/>
      <c r="R34" s="814"/>
      <c r="S34" s="350"/>
      <c r="T34" s="350"/>
      <c r="U34" s="350"/>
      <c r="V34" s="350"/>
      <c r="W34" s="378"/>
      <c r="X34" s="339">
        <f>X33*B25/1000</f>
        <v>3.7999999999999999E-2</v>
      </c>
      <c r="Y34" s="350"/>
      <c r="Z34" s="350"/>
      <c r="AA34" s="343">
        <f>ROUND(E34+G34+I34+K34+L34+M34+N34+O34+Q34+S34+T34+U34+V34+X34+Y34+Z34,2)</f>
        <v>0.74</v>
      </c>
      <c r="AB34" s="344">
        <f>AA34*B34</f>
        <v>77.270799999999994</v>
      </c>
      <c r="AC34" s="7"/>
      <c r="AD34" s="229">
        <f t="shared" si="0"/>
        <v>1.31</v>
      </c>
      <c r="AE34" s="7" t="str">
        <f>A34</f>
        <v>Масло раст.</v>
      </c>
      <c r="AF34" s="7"/>
      <c r="AG34" s="7"/>
      <c r="AH34" s="7"/>
    </row>
    <row r="35" spans="1:34" ht="14.25" customHeight="1" thickTop="1">
      <c r="A35" s="133"/>
      <c r="B35" s="121"/>
      <c r="C35" s="77" t="s">
        <v>72</v>
      </c>
      <c r="D35" s="305"/>
      <c r="E35" s="88"/>
      <c r="F35" s="90">
        <v>135</v>
      </c>
      <c r="G35" s="113">
        <f>F35/F26*G26</f>
        <v>135</v>
      </c>
      <c r="H35" s="108"/>
      <c r="I35" s="113"/>
      <c r="J35" s="608"/>
      <c r="K35" s="114"/>
      <c r="L35" s="88"/>
      <c r="M35" s="88"/>
      <c r="N35" s="263"/>
      <c r="O35" s="88"/>
      <c r="P35" s="177"/>
      <c r="Q35" s="129"/>
      <c r="R35" s="114">
        <v>39</v>
      </c>
      <c r="S35" s="88"/>
      <c r="T35" s="88"/>
      <c r="U35" s="88"/>
      <c r="V35" s="131"/>
      <c r="W35" s="113"/>
      <c r="X35" s="130"/>
      <c r="Y35" s="114">
        <f>Y36/B25*1000</f>
        <v>188.99999999999997</v>
      </c>
      <c r="Z35" s="88"/>
      <c r="AA35" s="214"/>
      <c r="AB35" s="123"/>
      <c r="AC35" s="7"/>
      <c r="AD35" s="123"/>
      <c r="AE35" s="7"/>
      <c r="AF35" s="7"/>
      <c r="AG35" s="7"/>
      <c r="AH35" s="7"/>
    </row>
    <row r="36" spans="1:34" ht="15.95" customHeight="1" thickBot="1">
      <c r="A36" s="346" t="s">
        <v>81</v>
      </c>
      <c r="B36" s="347">
        <v>67.8</v>
      </c>
      <c r="C36" s="348" t="s">
        <v>73</v>
      </c>
      <c r="D36" s="385"/>
      <c r="E36" s="350"/>
      <c r="F36" s="384">
        <f>F35*F25/1000</f>
        <v>13.5</v>
      </c>
      <c r="G36" s="365">
        <f>F36</f>
        <v>13.5</v>
      </c>
      <c r="H36" s="349"/>
      <c r="I36" s="341"/>
      <c r="J36" s="569"/>
      <c r="K36" s="814"/>
      <c r="L36" s="350"/>
      <c r="M36" s="350"/>
      <c r="N36" s="360"/>
      <c r="O36" s="350"/>
      <c r="P36" s="349"/>
      <c r="Q36" s="350"/>
      <c r="R36" s="814">
        <f>R35*B25/1000</f>
        <v>3.9</v>
      </c>
      <c r="S36" s="350"/>
      <c r="T36" s="350"/>
      <c r="U36" s="350"/>
      <c r="V36" s="350"/>
      <c r="W36" s="378"/>
      <c r="X36" s="339"/>
      <c r="Y36" s="814">
        <v>18.899999999999999</v>
      </c>
      <c r="Z36" s="350"/>
      <c r="AA36" s="356">
        <f>ROUND(E36+G36+I36+K36+L36+M36+N36+O36+Q36+R36+S36+T36+U36+V36+X36+Y36+Z36,3)</f>
        <v>36.299999999999997</v>
      </c>
      <c r="AB36" s="344">
        <f>AA36*B36</f>
        <v>2461.14</v>
      </c>
      <c r="AC36" s="7"/>
      <c r="AD36" s="230">
        <f t="shared" si="0"/>
        <v>68.900000000000006</v>
      </c>
      <c r="AE36" s="7" t="str">
        <f>A36</f>
        <v>Молоко св.</v>
      </c>
      <c r="AF36" s="7"/>
      <c r="AG36" s="7"/>
      <c r="AH36" s="7"/>
    </row>
    <row r="37" spans="1:34" ht="13.5" customHeight="1" thickTop="1">
      <c r="A37" s="133"/>
      <c r="B37" s="121"/>
      <c r="C37" s="77" t="s">
        <v>72</v>
      </c>
      <c r="D37" s="287"/>
      <c r="E37" s="88"/>
      <c r="F37" s="90"/>
      <c r="G37" s="113"/>
      <c r="H37" s="108"/>
      <c r="I37" s="88"/>
      <c r="J37" s="608"/>
      <c r="K37" s="88"/>
      <c r="L37" s="88"/>
      <c r="M37" s="130">
        <v>4</v>
      </c>
      <c r="N37" s="263"/>
      <c r="O37" s="129"/>
      <c r="P37" s="430"/>
      <c r="Q37" s="129"/>
      <c r="R37" s="129"/>
      <c r="S37" s="88"/>
      <c r="T37" s="88"/>
      <c r="U37" s="88"/>
      <c r="V37" s="113"/>
      <c r="W37" s="113"/>
      <c r="X37" s="113"/>
      <c r="Y37" s="88"/>
      <c r="Z37" s="88"/>
      <c r="AA37" s="214"/>
      <c r="AB37" s="123"/>
      <c r="AC37" s="7"/>
      <c r="AD37" s="123"/>
      <c r="AE37" s="7"/>
      <c r="AF37" s="7"/>
      <c r="AG37" s="7"/>
      <c r="AH37" s="7"/>
    </row>
    <row r="38" spans="1:34" ht="15.95" customHeight="1" thickBot="1">
      <c r="A38" s="346" t="s">
        <v>291</v>
      </c>
      <c r="B38" s="347">
        <v>30.11</v>
      </c>
      <c r="C38" s="348" t="s">
        <v>73</v>
      </c>
      <c r="D38" s="385"/>
      <c r="E38" s="350"/>
      <c r="F38" s="363"/>
      <c r="G38" s="350"/>
      <c r="H38" s="349"/>
      <c r="I38" s="350"/>
      <c r="J38" s="569"/>
      <c r="K38" s="350"/>
      <c r="L38" s="350"/>
      <c r="M38" s="339">
        <f>M37*B25/1000</f>
        <v>0.4</v>
      </c>
      <c r="N38" s="360"/>
      <c r="O38" s="341"/>
      <c r="P38" s="363"/>
      <c r="Q38" s="404"/>
      <c r="R38" s="404"/>
      <c r="S38" s="350"/>
      <c r="T38" s="350"/>
      <c r="U38" s="350"/>
      <c r="V38" s="341"/>
      <c r="W38" s="378"/>
      <c r="X38" s="341"/>
      <c r="Y38" s="350"/>
      <c r="Z38" s="350"/>
      <c r="AA38" s="343">
        <f>ROUND(E38+G38+I38+K38+L38+M38+N38+O38+Q38+S38+T38+U38+V38+X38+Y38+Z38,2)</f>
        <v>0.4</v>
      </c>
      <c r="AB38" s="344">
        <f>AA38*B38</f>
        <v>12.044</v>
      </c>
      <c r="AC38" s="7"/>
      <c r="AD38" s="229">
        <f t="shared" si="0"/>
        <v>0.76</v>
      </c>
      <c r="AE38" s="7" t="str">
        <f>A38</f>
        <v>Крупа перл.</v>
      </c>
      <c r="AF38" s="7"/>
      <c r="AG38" s="7"/>
      <c r="AH38" s="7"/>
    </row>
    <row r="39" spans="1:34" ht="12" customHeight="1" thickTop="1">
      <c r="A39" s="133"/>
      <c r="B39" s="121"/>
      <c r="C39" s="77" t="s">
        <v>72</v>
      </c>
      <c r="D39" s="287"/>
      <c r="E39" s="88"/>
      <c r="F39" s="90"/>
      <c r="G39" s="113"/>
      <c r="H39" s="108"/>
      <c r="I39" s="88"/>
      <c r="J39" s="608"/>
      <c r="K39" s="88"/>
      <c r="L39" s="88"/>
      <c r="M39" s="88"/>
      <c r="N39" s="263"/>
      <c r="O39" s="88">
        <f>O40/B25*1000</f>
        <v>10</v>
      </c>
      <c r="P39" s="108">
        <f>11.3/100*P26</f>
        <v>11.3</v>
      </c>
      <c r="Q39" s="129">
        <f>P39/P26*Q26</f>
        <v>11.3</v>
      </c>
      <c r="R39" s="129"/>
      <c r="S39" s="88"/>
      <c r="T39" s="88"/>
      <c r="U39" s="88"/>
      <c r="V39" s="88"/>
      <c r="W39" s="113"/>
      <c r="X39" s="129"/>
      <c r="Y39" s="88"/>
      <c r="Z39" s="88"/>
      <c r="AA39" s="214"/>
      <c r="AB39" s="123"/>
      <c r="AC39" s="7"/>
      <c r="AD39" s="123"/>
      <c r="AE39" s="7"/>
      <c r="AF39" s="7"/>
      <c r="AG39" s="7"/>
      <c r="AH39" s="7"/>
    </row>
    <row r="40" spans="1:34" ht="16.5" customHeight="1" thickBot="1">
      <c r="A40" s="346" t="s">
        <v>20</v>
      </c>
      <c r="B40" s="347">
        <v>227</v>
      </c>
      <c r="C40" s="348" t="s">
        <v>73</v>
      </c>
      <c r="D40" s="385"/>
      <c r="E40" s="350"/>
      <c r="F40" s="363"/>
      <c r="G40" s="350"/>
      <c r="H40" s="349"/>
      <c r="I40" s="350"/>
      <c r="J40" s="569"/>
      <c r="K40" s="350"/>
      <c r="L40" s="350"/>
      <c r="M40" s="350"/>
      <c r="N40" s="360"/>
      <c r="O40" s="341">
        <v>1</v>
      </c>
      <c r="P40" s="363">
        <f>P39*P25/1000</f>
        <v>1.1299999999999999</v>
      </c>
      <c r="Q40" s="341">
        <f>P40</f>
        <v>1.1299999999999999</v>
      </c>
      <c r="R40" s="350"/>
      <c r="S40" s="350"/>
      <c r="T40" s="350"/>
      <c r="U40" s="350"/>
      <c r="V40" s="350"/>
      <c r="W40" s="378"/>
      <c r="X40" s="350"/>
      <c r="Y40" s="350"/>
      <c r="Z40" s="350"/>
      <c r="AA40" s="343">
        <f>ROUND(E40+G40+I40+K40+L40+M40+N40+O40+Q40+S40+T40+U40+V40+X40+Y40+Z40,2)</f>
        <v>2.13</v>
      </c>
      <c r="AB40" s="344">
        <f>AA40*B40</f>
        <v>483.51</v>
      </c>
      <c r="AC40" s="7"/>
      <c r="AD40" s="229">
        <f t="shared" si="0"/>
        <v>4.0299999999999994</v>
      </c>
      <c r="AE40" s="7" t="str">
        <f>A40</f>
        <v>Сметана</v>
      </c>
      <c r="AF40" s="7"/>
      <c r="AG40" s="7"/>
      <c r="AH40" s="7"/>
    </row>
    <row r="41" spans="1:34" ht="12" customHeight="1" thickTop="1">
      <c r="A41" s="133"/>
      <c r="B41" s="121"/>
      <c r="C41" s="77" t="s">
        <v>72</v>
      </c>
      <c r="D41" s="287"/>
      <c r="E41" s="88"/>
      <c r="F41" s="90"/>
      <c r="G41" s="113"/>
      <c r="H41" s="108"/>
      <c r="I41" s="88"/>
      <c r="J41" s="608"/>
      <c r="K41" s="88"/>
      <c r="L41" s="88"/>
      <c r="M41" s="88"/>
      <c r="N41" s="263"/>
      <c r="O41" s="131"/>
      <c r="P41" s="108">
        <f>3.4/100*P26</f>
        <v>3.4000000000000004</v>
      </c>
      <c r="Q41" s="129">
        <f>P41/P26*Q26</f>
        <v>3.4000000000000004</v>
      </c>
      <c r="R41" s="131">
        <v>1.3</v>
      </c>
      <c r="S41" s="88"/>
      <c r="T41" s="88"/>
      <c r="U41" s="88"/>
      <c r="V41" s="88"/>
      <c r="W41" s="113"/>
      <c r="X41" s="130">
        <v>55.8</v>
      </c>
      <c r="Y41" s="88"/>
      <c r="Z41" s="88"/>
      <c r="AA41" s="214"/>
      <c r="AB41" s="123"/>
      <c r="AC41" s="7"/>
      <c r="AD41" s="123"/>
      <c r="AE41" s="7"/>
      <c r="AF41" s="7"/>
      <c r="AG41" s="7"/>
      <c r="AH41" s="7"/>
    </row>
    <row r="42" spans="1:34" ht="18.2" customHeight="1" thickBot="1">
      <c r="A42" s="346" t="s">
        <v>76</v>
      </c>
      <c r="B42" s="347">
        <v>29.08</v>
      </c>
      <c r="C42" s="348" t="s">
        <v>73</v>
      </c>
      <c r="D42" s="385"/>
      <c r="E42" s="350"/>
      <c r="F42" s="363"/>
      <c r="G42" s="350"/>
      <c r="H42" s="349"/>
      <c r="I42" s="350"/>
      <c r="J42" s="569"/>
      <c r="K42" s="350"/>
      <c r="L42" s="350"/>
      <c r="M42" s="350"/>
      <c r="N42" s="360"/>
      <c r="O42" s="341"/>
      <c r="P42" s="363">
        <f>P41*P25/1000</f>
        <v>0.34000000000000008</v>
      </c>
      <c r="Q42" s="341">
        <f>P42</f>
        <v>0.34000000000000008</v>
      </c>
      <c r="R42" s="341">
        <f>R41*B25/1000</f>
        <v>0.13</v>
      </c>
      <c r="S42" s="350"/>
      <c r="T42" s="350"/>
      <c r="U42" s="350"/>
      <c r="V42" s="350"/>
      <c r="W42" s="378"/>
      <c r="X42" s="339">
        <f>X41*B25/1000</f>
        <v>5.58</v>
      </c>
      <c r="Y42" s="350"/>
      <c r="Z42" s="350"/>
      <c r="AA42" s="343">
        <f>ROUND(E42+G42+I42+K42+L42+M42+N42+O42+Q42+S42+T42+U42+V42+X42+Y42+Z42,2)</f>
        <v>5.92</v>
      </c>
      <c r="AB42" s="344">
        <f>AA42*B42</f>
        <v>172.15359999999998</v>
      </c>
      <c r="AC42" s="7"/>
      <c r="AD42" s="229">
        <f t="shared" si="0"/>
        <v>10.379999999999999</v>
      </c>
      <c r="AE42" s="7" t="str">
        <f>A42</f>
        <v>Мука пшен.</v>
      </c>
      <c r="AF42" s="7"/>
      <c r="AG42" s="7"/>
      <c r="AH42" s="7"/>
    </row>
    <row r="43" spans="1:34" ht="12" customHeight="1" thickTop="1">
      <c r="A43" s="133"/>
      <c r="B43" s="121"/>
      <c r="C43" s="77" t="s">
        <v>72</v>
      </c>
      <c r="D43" s="497"/>
      <c r="E43" s="129"/>
      <c r="F43" s="90"/>
      <c r="G43" s="129"/>
      <c r="H43" s="108"/>
      <c r="I43" s="88"/>
      <c r="J43" s="608"/>
      <c r="K43" s="88"/>
      <c r="L43" s="88"/>
      <c r="M43" s="88"/>
      <c r="N43" s="113"/>
      <c r="O43" s="129"/>
      <c r="P43" s="108"/>
      <c r="Q43" s="129"/>
      <c r="R43" s="129"/>
      <c r="S43" s="88"/>
      <c r="T43" s="88"/>
      <c r="U43" s="88"/>
      <c r="V43" s="88"/>
      <c r="W43" s="113"/>
      <c r="X43" s="129">
        <v>5.3</v>
      </c>
      <c r="Y43" s="88"/>
      <c r="Z43" s="88"/>
      <c r="AA43" s="214"/>
      <c r="AB43" s="123"/>
      <c r="AC43" s="7"/>
      <c r="AD43" s="123"/>
      <c r="AE43" s="7"/>
      <c r="AF43" s="7"/>
      <c r="AG43" s="7"/>
      <c r="AH43" s="7"/>
    </row>
    <row r="44" spans="1:34" ht="15.75" customHeight="1" thickBot="1">
      <c r="A44" s="346" t="s">
        <v>129</v>
      </c>
      <c r="B44" s="347">
        <v>10</v>
      </c>
      <c r="C44" s="348" t="s">
        <v>74</v>
      </c>
      <c r="D44" s="363"/>
      <c r="E44" s="341"/>
      <c r="F44" s="363"/>
      <c r="G44" s="350"/>
      <c r="H44" s="349"/>
      <c r="I44" s="350"/>
      <c r="J44" s="569"/>
      <c r="K44" s="350"/>
      <c r="L44" s="350"/>
      <c r="M44" s="350"/>
      <c r="N44" s="530"/>
      <c r="O44" s="470"/>
      <c r="P44" s="349"/>
      <c r="Q44" s="350"/>
      <c r="R44" s="350"/>
      <c r="S44" s="350"/>
      <c r="T44" s="350"/>
      <c r="U44" s="350"/>
      <c r="V44" s="350"/>
      <c r="W44" s="530"/>
      <c r="X44" s="470">
        <f>ROUND(X43*B25/48,0)</f>
        <v>11</v>
      </c>
      <c r="Y44" s="350"/>
      <c r="Z44" s="350"/>
      <c r="AA44" s="472">
        <f>ROUND(E44+G44+I44+K44+L44+M44+O44+Q44+S44+T44+U44+V44+X44+Y44+Z44,0)</f>
        <v>11</v>
      </c>
      <c r="AB44" s="344">
        <f>AA44*B44</f>
        <v>110</v>
      </c>
      <c r="AC44" s="7"/>
      <c r="AD44" s="229">
        <f t="shared" si="0"/>
        <v>19</v>
      </c>
      <c r="AE44" s="7" t="str">
        <f>A44</f>
        <v>Яйцо диет.</v>
      </c>
      <c r="AF44" s="7"/>
      <c r="AG44" s="7"/>
      <c r="AH44" s="7"/>
    </row>
    <row r="45" spans="1:34" ht="12" customHeight="1" thickTop="1">
      <c r="A45" s="133"/>
      <c r="B45" s="121"/>
      <c r="C45" s="77" t="s">
        <v>72</v>
      </c>
      <c r="D45" s="287"/>
      <c r="E45" s="88"/>
      <c r="F45" s="90">
        <v>23.1</v>
      </c>
      <c r="G45" s="129">
        <f>F45/F26*G26</f>
        <v>23.1</v>
      </c>
      <c r="H45" s="108"/>
      <c r="I45" s="88"/>
      <c r="J45" s="608"/>
      <c r="K45" s="88"/>
      <c r="L45" s="88"/>
      <c r="M45" s="88"/>
      <c r="N45" s="263"/>
      <c r="O45" s="88"/>
      <c r="P45" s="10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214"/>
      <c r="AB45" s="123"/>
      <c r="AC45" s="7"/>
      <c r="AD45" s="123"/>
      <c r="AE45" s="7"/>
      <c r="AF45" s="7"/>
      <c r="AG45" s="7"/>
      <c r="AH45" s="7"/>
    </row>
    <row r="46" spans="1:34" ht="15.75" customHeight="1" thickBot="1">
      <c r="A46" s="346" t="s">
        <v>120</v>
      </c>
      <c r="B46" s="347">
        <v>37.53</v>
      </c>
      <c r="C46" s="348" t="s">
        <v>73</v>
      </c>
      <c r="D46" s="385"/>
      <c r="E46" s="350"/>
      <c r="F46" s="363">
        <f>F45*F25/1000</f>
        <v>2.31</v>
      </c>
      <c r="G46" s="341">
        <f>F46</f>
        <v>2.31</v>
      </c>
      <c r="H46" s="349"/>
      <c r="I46" s="350"/>
      <c r="J46" s="569"/>
      <c r="K46" s="350"/>
      <c r="L46" s="350"/>
      <c r="M46" s="350"/>
      <c r="N46" s="360"/>
      <c r="O46" s="350"/>
      <c r="P46" s="349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43">
        <f>ROUND(E46+G46+I46+K46+L46+M46+N46+O46+Q46+S46+T46+U46+V46+X46+Y46+Z46,2)</f>
        <v>2.31</v>
      </c>
      <c r="AB46" s="344">
        <f>AA46*B46</f>
        <v>86.694299999999998</v>
      </c>
      <c r="AC46" s="7"/>
      <c r="AD46" s="229">
        <f t="shared" si="0"/>
        <v>4.62</v>
      </c>
      <c r="AE46" s="7" t="str">
        <f>A46</f>
        <v>Манная кр.</v>
      </c>
      <c r="AF46" s="7"/>
      <c r="AG46" s="7"/>
      <c r="AH46" s="7"/>
    </row>
    <row r="47" spans="1:34" ht="13.5" customHeight="1" thickTop="1">
      <c r="A47" s="133"/>
      <c r="B47" s="121"/>
      <c r="C47" s="77" t="s">
        <v>72</v>
      </c>
      <c r="D47" s="287"/>
      <c r="E47" s="88"/>
      <c r="F47" s="90">
        <v>3</v>
      </c>
      <c r="G47" s="113">
        <f>F47/F26*G26</f>
        <v>3</v>
      </c>
      <c r="H47" s="108">
        <v>7</v>
      </c>
      <c r="I47" s="113">
        <f>H47/H26*I26</f>
        <v>7</v>
      </c>
      <c r="J47" s="608"/>
      <c r="K47" s="88"/>
      <c r="L47" s="130"/>
      <c r="M47" s="88"/>
      <c r="N47" s="264"/>
      <c r="O47" s="131"/>
      <c r="P47" s="108"/>
      <c r="Q47" s="88"/>
      <c r="R47" s="88"/>
      <c r="S47" s="131">
        <v>10</v>
      </c>
      <c r="T47" s="88"/>
      <c r="U47" s="88"/>
      <c r="V47" s="131"/>
      <c r="W47" s="131"/>
      <c r="X47" s="130">
        <v>3</v>
      </c>
      <c r="Y47" s="131"/>
      <c r="Z47" s="88"/>
      <c r="AA47" s="214"/>
      <c r="AB47" s="123"/>
      <c r="AC47" s="7"/>
      <c r="AD47" s="123"/>
      <c r="AE47" s="7"/>
      <c r="AF47" s="7"/>
      <c r="AG47" s="7"/>
      <c r="AH47" s="7"/>
    </row>
    <row r="48" spans="1:34" ht="16.5" customHeight="1" thickBot="1">
      <c r="A48" s="346" t="s">
        <v>77</v>
      </c>
      <c r="B48" s="347">
        <v>62.77</v>
      </c>
      <c r="C48" s="348" t="s">
        <v>73</v>
      </c>
      <c r="D48" s="385"/>
      <c r="E48" s="350"/>
      <c r="F48" s="363">
        <f>F47*F25/1000</f>
        <v>0.3</v>
      </c>
      <c r="G48" s="341">
        <f>F48</f>
        <v>0.3</v>
      </c>
      <c r="H48" s="349">
        <f>H47*H25/1000</f>
        <v>0.7</v>
      </c>
      <c r="I48" s="341">
        <f>ROUND(H48,2)</f>
        <v>0.7</v>
      </c>
      <c r="J48" s="569"/>
      <c r="K48" s="350"/>
      <c r="L48" s="339"/>
      <c r="M48" s="350"/>
      <c r="N48" s="360"/>
      <c r="O48" s="341"/>
      <c r="P48" s="349"/>
      <c r="Q48" s="350"/>
      <c r="R48" s="350"/>
      <c r="S48" s="341">
        <f>ROUND(S47*B25/1000,2)</f>
        <v>1</v>
      </c>
      <c r="T48" s="350"/>
      <c r="U48" s="350"/>
      <c r="V48" s="341">
        <f>V47*B25/1000</f>
        <v>0</v>
      </c>
      <c r="W48" s="341"/>
      <c r="X48" s="339">
        <f>X47*B25/1000</f>
        <v>0.3</v>
      </c>
      <c r="Y48" s="341"/>
      <c r="Z48" s="350"/>
      <c r="AA48" s="343">
        <f>ROUND(E48+G48+I48+K48+L48+M48+N48+O48+Q48+S48+T48+U48+V48+X48+Y48+Z48,2)</f>
        <v>2.2999999999999998</v>
      </c>
      <c r="AB48" s="344">
        <f>AA48*B48</f>
        <v>144.37100000000001</v>
      </c>
      <c r="AC48" s="7"/>
      <c r="AD48" s="229">
        <f t="shared" si="0"/>
        <v>4.22</v>
      </c>
      <c r="AE48" s="7" t="str">
        <f>A48</f>
        <v>Сахар</v>
      </c>
      <c r="AF48" s="7"/>
      <c r="AG48" s="7"/>
      <c r="AH48" s="7"/>
    </row>
    <row r="49" spans="1:34" ht="15" customHeight="1" thickTop="1">
      <c r="A49" s="133"/>
      <c r="B49" s="121"/>
      <c r="C49" s="77" t="s">
        <v>72</v>
      </c>
      <c r="D49" s="287"/>
      <c r="E49" s="88"/>
      <c r="F49" s="90"/>
      <c r="G49" s="88"/>
      <c r="H49" s="108"/>
      <c r="I49" s="88"/>
      <c r="J49" s="608"/>
      <c r="K49" s="88"/>
      <c r="L49" s="88"/>
      <c r="M49" s="88"/>
      <c r="N49" s="263"/>
      <c r="O49" s="88"/>
      <c r="P49" s="108"/>
      <c r="Q49" s="88"/>
      <c r="R49" s="88"/>
      <c r="S49" s="131">
        <v>12</v>
      </c>
      <c r="T49" s="88"/>
      <c r="U49" s="88"/>
      <c r="V49" s="88"/>
      <c r="W49" s="88"/>
      <c r="X49" s="88"/>
      <c r="Y49" s="88"/>
      <c r="Z49" s="88"/>
      <c r="AA49" s="214"/>
      <c r="AB49" s="123"/>
      <c r="AC49" s="7"/>
      <c r="AD49" s="123"/>
      <c r="AE49" s="7"/>
      <c r="AF49" s="7"/>
      <c r="AG49" s="7"/>
      <c r="AH49" s="7"/>
    </row>
    <row r="50" spans="1:34" ht="15.75" customHeight="1" thickBot="1">
      <c r="A50" s="346" t="s">
        <v>67</v>
      </c>
      <c r="B50" s="347">
        <v>170</v>
      </c>
      <c r="C50" s="348" t="s">
        <v>73</v>
      </c>
      <c r="D50" s="385"/>
      <c r="E50" s="350"/>
      <c r="F50" s="363"/>
      <c r="G50" s="350"/>
      <c r="H50" s="349"/>
      <c r="I50" s="350"/>
      <c r="J50" s="569"/>
      <c r="K50" s="350"/>
      <c r="L50" s="350"/>
      <c r="M50" s="350"/>
      <c r="N50" s="360"/>
      <c r="O50" s="350"/>
      <c r="P50" s="349"/>
      <c r="Q50" s="350"/>
      <c r="R50" s="350"/>
      <c r="S50" s="341">
        <f>S49*B25/1000</f>
        <v>1.2</v>
      </c>
      <c r="T50" s="350"/>
      <c r="U50" s="350"/>
      <c r="V50" s="350"/>
      <c r="W50" s="350"/>
      <c r="X50" s="350"/>
      <c r="Y50" s="350"/>
      <c r="Z50" s="350"/>
      <c r="AA50" s="343">
        <f>ROUND(E50+G50+I50+K50+L50+M50+N50+O50+Q50+S50+T50+U50+V50+X50+Y50+Z50,2)</f>
        <v>1.2</v>
      </c>
      <c r="AB50" s="344">
        <f>AA50*B50</f>
        <v>204</v>
      </c>
      <c r="AC50" s="7"/>
      <c r="AD50" s="229">
        <f t="shared" si="0"/>
        <v>2.2000000000000002</v>
      </c>
      <c r="AE50" s="7" t="str">
        <f>A50</f>
        <v>Сухофрукты</v>
      </c>
      <c r="AF50" s="7"/>
      <c r="AG50" s="7"/>
      <c r="AH50" s="7"/>
    </row>
    <row r="51" spans="1:34" ht="12.75" customHeight="1" thickTop="1">
      <c r="A51" s="133"/>
      <c r="B51" s="102"/>
      <c r="C51" s="77" t="s">
        <v>72</v>
      </c>
      <c r="D51" s="287"/>
      <c r="E51" s="104"/>
      <c r="F51" s="103"/>
      <c r="G51" s="113"/>
      <c r="H51" s="108"/>
      <c r="I51" s="104"/>
      <c r="J51" s="608"/>
      <c r="K51" s="104">
        <f>K52/B25*1000</f>
        <v>100</v>
      </c>
      <c r="L51" s="184"/>
      <c r="M51" s="104"/>
      <c r="N51" s="265"/>
      <c r="O51" s="104"/>
      <c r="P51" s="108"/>
      <c r="Q51" s="104"/>
      <c r="R51" s="104"/>
      <c r="S51" s="104"/>
      <c r="T51" s="104"/>
      <c r="U51" s="104"/>
      <c r="V51" s="184"/>
      <c r="W51" s="104"/>
      <c r="X51" s="104"/>
      <c r="Y51" s="104"/>
      <c r="Z51" s="104"/>
      <c r="AA51" s="213"/>
      <c r="AB51" s="123"/>
      <c r="AC51" s="7"/>
      <c r="AD51" s="123"/>
      <c r="AE51" s="7"/>
      <c r="AF51" s="7"/>
      <c r="AG51" s="7"/>
      <c r="AH51" s="7"/>
    </row>
    <row r="52" spans="1:34" ht="15" customHeight="1" thickBot="1">
      <c r="A52" s="346" t="s">
        <v>121</v>
      </c>
      <c r="B52" s="347">
        <v>100</v>
      </c>
      <c r="C52" s="348" t="s">
        <v>73</v>
      </c>
      <c r="D52" s="385"/>
      <c r="E52" s="350"/>
      <c r="F52" s="363"/>
      <c r="G52" s="350"/>
      <c r="H52" s="349"/>
      <c r="I52" s="350"/>
      <c r="J52" s="569"/>
      <c r="K52" s="341">
        <v>10</v>
      </c>
      <c r="L52" s="341"/>
      <c r="M52" s="350"/>
      <c r="N52" s="360"/>
      <c r="O52" s="350"/>
      <c r="P52" s="349"/>
      <c r="Q52" s="350"/>
      <c r="R52" s="350"/>
      <c r="S52" s="350"/>
      <c r="T52" s="350"/>
      <c r="U52" s="350"/>
      <c r="V52" s="341"/>
      <c r="W52" s="350"/>
      <c r="X52" s="350"/>
      <c r="Y52" s="350"/>
      <c r="Z52" s="350"/>
      <c r="AA52" s="343">
        <f>ROUND(E52+G52+I52+K52+L52+M52+N52+O52+Q52+S52+T52+V52+X52+Y52+Z52,2)</f>
        <v>10</v>
      </c>
      <c r="AB52" s="344">
        <f>AA52*B52</f>
        <v>1000</v>
      </c>
      <c r="AC52" s="7"/>
      <c r="AD52" s="234">
        <f t="shared" si="0"/>
        <v>20</v>
      </c>
      <c r="AE52" s="7" t="str">
        <f>A52</f>
        <v>Фрукт?</v>
      </c>
      <c r="AF52" s="7"/>
      <c r="AG52" s="7"/>
      <c r="AH52" s="7"/>
    </row>
    <row r="53" spans="1:34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18" t="s">
        <v>71</v>
      </c>
      <c r="AD53" s="228"/>
    </row>
    <row r="54" spans="1:34" ht="12" customHeight="1">
      <c r="A54" s="26" t="s">
        <v>53</v>
      </c>
      <c r="B54" s="20"/>
      <c r="C54" s="65"/>
      <c r="D54" s="65"/>
      <c r="E54" s="14"/>
      <c r="F54" s="14"/>
      <c r="G54" s="14"/>
      <c r="H54" s="14"/>
      <c r="I54" s="14"/>
      <c r="J54" s="14"/>
      <c r="K54" s="14"/>
      <c r="L54" s="14"/>
      <c r="M54" s="14"/>
      <c r="N54" s="28" t="s">
        <v>41</v>
      </c>
      <c r="O54" s="14"/>
      <c r="P54" s="14"/>
      <c r="Q54" s="14"/>
      <c r="R54" s="14"/>
      <c r="S54" s="28" t="s">
        <v>11</v>
      </c>
      <c r="T54" s="28"/>
      <c r="U54" s="28"/>
      <c r="V54" s="14"/>
      <c r="W54" s="14"/>
      <c r="X54" s="14"/>
      <c r="Y54" s="14"/>
      <c r="Z54" s="22"/>
      <c r="AA54" s="1047" t="s">
        <v>8</v>
      </c>
      <c r="AB54" s="1048"/>
      <c r="AC54" s="7"/>
      <c r="AD54" s="228"/>
      <c r="AE54" s="7"/>
      <c r="AF54" s="7"/>
      <c r="AG54" s="7"/>
      <c r="AH54" s="7"/>
    </row>
    <row r="55" spans="1:34" ht="12" customHeight="1">
      <c r="A55" s="993"/>
      <c r="B55" s="19"/>
      <c r="C55" s="5" t="s">
        <v>52</v>
      </c>
      <c r="D55" s="991"/>
      <c r="E55" s="1052" t="str">
        <f>E19</f>
        <v>З А В Т Р А К                                                            10-00</v>
      </c>
      <c r="F55" s="1052"/>
      <c r="G55" s="1052"/>
      <c r="H55" s="1052"/>
      <c r="I55" s="1052"/>
      <c r="J55" s="1052"/>
      <c r="K55" s="1053"/>
      <c r="L55" s="994"/>
      <c r="M55" s="1056" t="s">
        <v>16</v>
      </c>
      <c r="N55" s="1052"/>
      <c r="O55" s="1052"/>
      <c r="P55" s="1052"/>
      <c r="Q55" s="1052"/>
      <c r="R55" s="1052"/>
      <c r="S55" s="1052"/>
      <c r="T55" s="1053"/>
      <c r="U55" s="994"/>
      <c r="V55" s="1056" t="s">
        <v>17</v>
      </c>
      <c r="W55" s="1052"/>
      <c r="X55" s="1052"/>
      <c r="Y55" s="1052"/>
      <c r="Z55" s="1052"/>
      <c r="AA55" s="1058" t="s">
        <v>3</v>
      </c>
      <c r="AB55" s="1059"/>
      <c r="AC55" s="7"/>
      <c r="AD55" s="228"/>
      <c r="AE55" s="7"/>
      <c r="AF55" s="7"/>
      <c r="AG55" s="7"/>
      <c r="AH55" s="7"/>
    </row>
    <row r="56" spans="1:34" ht="5.25" customHeight="1">
      <c r="A56" s="1002"/>
      <c r="B56" s="5"/>
      <c r="C56" s="5" t="s">
        <v>51</v>
      </c>
      <c r="D56" s="999"/>
      <c r="E56" s="1054"/>
      <c r="F56" s="1054"/>
      <c r="G56" s="1054"/>
      <c r="H56" s="1054"/>
      <c r="I56" s="1054"/>
      <c r="J56" s="1054"/>
      <c r="K56" s="1055"/>
      <c r="L56" s="996"/>
      <c r="M56" s="1057"/>
      <c r="N56" s="1054"/>
      <c r="O56" s="1054"/>
      <c r="P56" s="1054"/>
      <c r="Q56" s="1054"/>
      <c r="R56" s="1054"/>
      <c r="S56" s="1054"/>
      <c r="T56" s="1055"/>
      <c r="U56" s="996"/>
      <c r="V56" s="1057"/>
      <c r="W56" s="1054"/>
      <c r="X56" s="1054"/>
      <c r="Y56" s="1054"/>
      <c r="Z56" s="1054"/>
      <c r="AA56" s="1047" t="s">
        <v>36</v>
      </c>
      <c r="AB56" s="1048"/>
      <c r="AC56" s="8"/>
      <c r="AD56" s="228"/>
      <c r="AE56" s="7"/>
      <c r="AF56" s="7"/>
      <c r="AG56" s="7"/>
      <c r="AH56" s="7"/>
    </row>
    <row r="57" spans="1:34" ht="10.5" customHeight="1">
      <c r="A57" s="1002" t="s">
        <v>54</v>
      </c>
      <c r="B57" s="5" t="s">
        <v>65</v>
      </c>
      <c r="C57" s="5" t="s">
        <v>9</v>
      </c>
      <c r="D57" s="1236" t="str">
        <f>D21</f>
        <v>Бутерб. с маслом</v>
      </c>
      <c r="E57" s="1038" t="str">
        <f>E21</f>
        <v xml:space="preserve"> 5 \ 20</v>
      </c>
      <c r="F57" s="1041" t="str">
        <f>F21</f>
        <v>Каша манн. мол.</v>
      </c>
      <c r="G57" s="1038"/>
      <c r="H57" s="1041" t="str">
        <f>H21</f>
        <v>Чай с сахаром</v>
      </c>
      <c r="I57" s="1038"/>
      <c r="J57" s="1070" t="str">
        <f>J23</f>
        <v>Батон витаминиз.</v>
      </c>
      <c r="K57" s="1070" t="str">
        <f>K23</f>
        <v>Фрукт порц.</v>
      </c>
      <c r="L57" s="1070" t="str">
        <f>L23</f>
        <v>Салат из свеклы</v>
      </c>
      <c r="M57" s="1041" t="str">
        <f>M21</f>
        <v>Рассольник лен.</v>
      </c>
      <c r="N57" s="1041">
        <f>N21</f>
        <v>0</v>
      </c>
      <c r="O57" s="1038" t="str">
        <f>O21</f>
        <v>Сметана в суп</v>
      </c>
      <c r="P57" s="1041" t="str">
        <f>P21</f>
        <v>Бефстроганов</v>
      </c>
      <c r="Q57" s="1038"/>
      <c r="R57" s="1044" t="str">
        <f>R21</f>
        <v>Картофель в молоке</v>
      </c>
      <c r="S57" s="1044" t="s">
        <v>63</v>
      </c>
      <c r="T57" s="1044" t="str">
        <f t="shared" ref="T57:Z57" si="1">T21</f>
        <v>Хлеб ржано-пшеничный</v>
      </c>
      <c r="U57" s="1044">
        <f>U23</f>
        <v>0</v>
      </c>
      <c r="V57" s="1044">
        <f t="shared" si="1"/>
        <v>0</v>
      </c>
      <c r="W57" s="1041" t="str">
        <f>X21</f>
        <v>Ватрушка с повидлом</v>
      </c>
      <c r="X57" s="1096"/>
      <c r="Y57" s="1044" t="str">
        <f t="shared" si="1"/>
        <v>Молоко кип.</v>
      </c>
      <c r="Z57" s="1044">
        <f t="shared" si="1"/>
        <v>0</v>
      </c>
      <c r="AA57" s="24"/>
      <c r="AB57" s="1019"/>
      <c r="AC57" s="7"/>
      <c r="AD57" s="228"/>
      <c r="AE57" s="7"/>
      <c r="AF57" s="7"/>
      <c r="AG57" s="7"/>
      <c r="AH57" s="7"/>
    </row>
    <row r="58" spans="1:34" ht="10.5" customHeight="1">
      <c r="A58" s="1002"/>
      <c r="B58" s="5"/>
      <c r="C58" s="5" t="s">
        <v>10</v>
      </c>
      <c r="D58" s="1237"/>
      <c r="E58" s="1039"/>
      <c r="F58" s="1042"/>
      <c r="G58" s="1039"/>
      <c r="H58" s="1042"/>
      <c r="I58" s="1039"/>
      <c r="J58" s="1071"/>
      <c r="K58" s="1071"/>
      <c r="L58" s="1071"/>
      <c r="M58" s="1042"/>
      <c r="N58" s="1042"/>
      <c r="O58" s="1039"/>
      <c r="P58" s="1042"/>
      <c r="Q58" s="1039"/>
      <c r="R58" s="1130"/>
      <c r="S58" s="1045"/>
      <c r="T58" s="1045"/>
      <c r="U58" s="1045"/>
      <c r="V58" s="1045"/>
      <c r="W58" s="1097"/>
      <c r="X58" s="1098"/>
      <c r="Y58" s="1045"/>
      <c r="Z58" s="1045"/>
      <c r="AA58" s="19" t="s">
        <v>6</v>
      </c>
      <c r="AB58" s="1001" t="s">
        <v>4</v>
      </c>
      <c r="AC58" s="7"/>
      <c r="AD58" s="228"/>
      <c r="AE58" s="7"/>
      <c r="AF58" s="7"/>
      <c r="AG58" s="7"/>
      <c r="AH58" s="7"/>
    </row>
    <row r="59" spans="1:34" ht="10.5" customHeight="1">
      <c r="A59" s="1006"/>
      <c r="B59" s="4"/>
      <c r="C59" s="4"/>
      <c r="D59" s="1238"/>
      <c r="E59" s="1040"/>
      <c r="F59" s="1043"/>
      <c r="G59" s="1040"/>
      <c r="H59" s="1043"/>
      <c r="I59" s="1040"/>
      <c r="J59" s="1072"/>
      <c r="K59" s="1072"/>
      <c r="L59" s="1072"/>
      <c r="M59" s="1043"/>
      <c r="N59" s="1043"/>
      <c r="O59" s="1040"/>
      <c r="P59" s="1043"/>
      <c r="Q59" s="1040"/>
      <c r="R59" s="1217"/>
      <c r="S59" s="1046"/>
      <c r="T59" s="1046"/>
      <c r="U59" s="1046"/>
      <c r="V59" s="1046"/>
      <c r="W59" s="1099"/>
      <c r="X59" s="1100"/>
      <c r="Y59" s="1046"/>
      <c r="Z59" s="1046"/>
      <c r="AA59" s="4" t="s">
        <v>7</v>
      </c>
      <c r="AB59" s="1000" t="s">
        <v>5</v>
      </c>
      <c r="AC59" s="7"/>
      <c r="AD59" s="236"/>
      <c r="AE59" s="7"/>
      <c r="AF59" s="7"/>
      <c r="AG59" s="7"/>
      <c r="AH59" s="7"/>
    </row>
    <row r="60" spans="1:34" ht="11.25" customHeight="1" thickBot="1">
      <c r="A60" s="64">
        <v>1</v>
      </c>
      <c r="B60" s="1024">
        <v>2</v>
      </c>
      <c r="C60" s="72">
        <v>3</v>
      </c>
      <c r="D60" s="1024"/>
      <c r="E60" s="80">
        <v>4</v>
      </c>
      <c r="F60" s="86">
        <v>5</v>
      </c>
      <c r="G60" s="1009">
        <v>6</v>
      </c>
      <c r="H60" s="87">
        <v>7</v>
      </c>
      <c r="I60" s="80">
        <v>8</v>
      </c>
      <c r="J60" s="81">
        <v>9</v>
      </c>
      <c r="K60" s="96">
        <v>10</v>
      </c>
      <c r="L60" s="96">
        <v>11</v>
      </c>
      <c r="M60" s="81">
        <v>12</v>
      </c>
      <c r="N60" s="82">
        <v>13</v>
      </c>
      <c r="O60" s="93">
        <v>14</v>
      </c>
      <c r="P60" s="97">
        <v>15</v>
      </c>
      <c r="Q60" s="93">
        <v>16</v>
      </c>
      <c r="R60" s="80"/>
      <c r="S60" s="96">
        <v>17</v>
      </c>
      <c r="T60" s="98">
        <v>18</v>
      </c>
      <c r="U60" s="96"/>
      <c r="V60" s="80">
        <v>19</v>
      </c>
      <c r="W60" s="80"/>
      <c r="X60" s="96">
        <v>20</v>
      </c>
      <c r="Y60" s="81">
        <v>21</v>
      </c>
      <c r="Z60" s="96">
        <v>22</v>
      </c>
      <c r="AA60" s="35">
        <v>30</v>
      </c>
      <c r="AB60" s="1008">
        <v>31</v>
      </c>
      <c r="AC60" s="7"/>
      <c r="AD60" s="237"/>
      <c r="AE60" s="7"/>
      <c r="AF60" s="7"/>
      <c r="AG60" s="7"/>
      <c r="AH60" s="7"/>
    </row>
    <row r="61" spans="1:34" ht="14.25" customHeight="1" thickTop="1">
      <c r="A61" s="135"/>
      <c r="B61" s="13"/>
      <c r="C61" s="77" t="s">
        <v>72</v>
      </c>
      <c r="D61" s="297"/>
      <c r="E61" s="277"/>
      <c r="F61" s="109"/>
      <c r="G61" s="94"/>
      <c r="H61" s="109"/>
      <c r="I61" s="94"/>
      <c r="J61" s="667"/>
      <c r="K61" s="277"/>
      <c r="L61" s="94"/>
      <c r="M61" s="130">
        <v>92.4</v>
      </c>
      <c r="N61" s="411"/>
      <c r="O61" s="410"/>
      <c r="P61" s="109"/>
      <c r="Q61" s="94"/>
      <c r="R61" s="130">
        <v>151</v>
      </c>
      <c r="S61" s="94"/>
      <c r="T61" s="94"/>
      <c r="U61" s="94"/>
      <c r="V61" s="130"/>
      <c r="W61" s="130"/>
      <c r="X61" s="94"/>
      <c r="Y61" s="94"/>
      <c r="Z61" s="94"/>
      <c r="AA61" s="117"/>
      <c r="AB61" s="116"/>
      <c r="AC61" s="7"/>
      <c r="AD61" s="232"/>
      <c r="AE61" s="7"/>
      <c r="AF61" s="7"/>
      <c r="AG61" s="7"/>
    </row>
    <row r="62" spans="1:34" ht="18" customHeight="1" thickBot="1">
      <c r="A62" s="346" t="s">
        <v>26</v>
      </c>
      <c r="B62" s="347">
        <v>28</v>
      </c>
      <c r="C62" s="348" t="s">
        <v>73</v>
      </c>
      <c r="D62" s="387"/>
      <c r="E62" s="353"/>
      <c r="F62" s="338"/>
      <c r="G62" s="337"/>
      <c r="H62" s="338"/>
      <c r="I62" s="337"/>
      <c r="J62" s="668"/>
      <c r="K62" s="353"/>
      <c r="L62" s="337"/>
      <c r="M62" s="339">
        <f>M61*B25/1000</f>
        <v>9.24</v>
      </c>
      <c r="N62" s="361"/>
      <c r="O62" s="350"/>
      <c r="P62" s="338"/>
      <c r="Q62" s="337"/>
      <c r="R62" s="339">
        <f>R61*B25/1000</f>
        <v>15.1</v>
      </c>
      <c r="S62" s="337"/>
      <c r="T62" s="337"/>
      <c r="U62" s="353"/>
      <c r="V62" s="350"/>
      <c r="W62" s="350"/>
      <c r="X62" s="337"/>
      <c r="Y62" s="337"/>
      <c r="Z62" s="337"/>
      <c r="AA62" s="343">
        <f>ROUND(E62+G62+I62+K62+L62+M62+N62+O62+Q62+R62+S62+T62+U62+V62+X62+Y62+Z62,2)</f>
        <v>24.34</v>
      </c>
      <c r="AB62" s="344">
        <f>AA62*B62</f>
        <v>681.52</v>
      </c>
      <c r="AC62" s="7"/>
      <c r="AD62" s="229">
        <f t="shared" ref="AD62:AD94" si="2">AA62+AA161</f>
        <v>45.36</v>
      </c>
      <c r="AE62" s="7" t="str">
        <f>A62</f>
        <v>Картофель</v>
      </c>
      <c r="AF62" s="7"/>
      <c r="AG62" s="7"/>
    </row>
    <row r="63" spans="1:34" ht="14.25" customHeight="1" thickTop="1">
      <c r="A63" s="133"/>
      <c r="B63" s="122"/>
      <c r="C63" s="77" t="s">
        <v>72</v>
      </c>
      <c r="D63" s="78"/>
      <c r="E63" s="268"/>
      <c r="F63" s="112"/>
      <c r="G63" s="106"/>
      <c r="H63" s="112"/>
      <c r="I63" s="106"/>
      <c r="J63" s="669"/>
      <c r="K63" s="268"/>
      <c r="L63" s="130">
        <v>64.599999999999994</v>
      </c>
      <c r="M63" s="106"/>
      <c r="N63" s="274"/>
      <c r="O63" s="499"/>
      <c r="P63" s="112"/>
      <c r="Q63" s="113"/>
      <c r="R63" s="113"/>
      <c r="S63" s="106"/>
      <c r="T63" s="106"/>
      <c r="U63" s="106"/>
      <c r="V63" s="127"/>
      <c r="W63" s="113"/>
      <c r="X63" s="129"/>
      <c r="Y63" s="106"/>
      <c r="Z63" s="106"/>
      <c r="AA63" s="213"/>
      <c r="AB63" s="123"/>
      <c r="AC63" s="7"/>
      <c r="AD63" s="123"/>
      <c r="AE63" s="7"/>
      <c r="AF63" s="7"/>
      <c r="AG63" s="7"/>
    </row>
    <row r="64" spans="1:34" ht="18" customHeight="1" thickBot="1">
      <c r="A64" s="346" t="s">
        <v>175</v>
      </c>
      <c r="B64" s="347">
        <v>28</v>
      </c>
      <c r="C64" s="348" t="s">
        <v>73</v>
      </c>
      <c r="D64" s="387"/>
      <c r="E64" s="353"/>
      <c r="F64" s="338"/>
      <c r="G64" s="337"/>
      <c r="H64" s="338"/>
      <c r="I64" s="337"/>
      <c r="J64" s="668"/>
      <c r="K64" s="353"/>
      <c r="L64" s="339">
        <f>L63*B25/1000</f>
        <v>6.4599999999999991</v>
      </c>
      <c r="M64" s="337"/>
      <c r="N64" s="360"/>
      <c r="O64" s="341"/>
      <c r="P64" s="349"/>
      <c r="Q64" s="340"/>
      <c r="R64" s="340"/>
      <c r="S64" s="337"/>
      <c r="T64" s="337"/>
      <c r="U64" s="353"/>
      <c r="V64" s="341">
        <f>V63*V25/1000</f>
        <v>0</v>
      </c>
      <c r="W64" s="378"/>
      <c r="X64" s="350"/>
      <c r="Y64" s="337"/>
      <c r="Z64" s="337"/>
      <c r="AA64" s="343">
        <f>ROUND(E64+G64+I64+K64+L64+M64+N64+O64+Q64+S64+T64+U64+V64+X64+Y64+Z64,2)</f>
        <v>6.46</v>
      </c>
      <c r="AB64" s="344">
        <f>AA64*B64</f>
        <v>180.88</v>
      </c>
      <c r="AC64" s="7"/>
      <c r="AD64" s="229">
        <f t="shared" si="2"/>
        <v>10.34</v>
      </c>
      <c r="AE64" s="7" t="str">
        <f>A64</f>
        <v>Свекла ст.</v>
      </c>
      <c r="AF64" s="7"/>
      <c r="AG64" s="7"/>
    </row>
    <row r="65" spans="1:34" ht="14.25" customHeight="1" thickTop="1">
      <c r="A65" s="133"/>
      <c r="B65" s="122"/>
      <c r="C65" s="77" t="s">
        <v>72</v>
      </c>
      <c r="D65" s="78"/>
      <c r="E65" s="268"/>
      <c r="F65" s="112"/>
      <c r="G65" s="106"/>
      <c r="H65" s="112"/>
      <c r="I65" s="106"/>
      <c r="J65" s="669"/>
      <c r="K65" s="268"/>
      <c r="L65" s="130"/>
      <c r="M65" s="130">
        <v>4.8</v>
      </c>
      <c r="N65" s="108"/>
      <c r="O65" s="129"/>
      <c r="P65" s="108">
        <f>12/100*P26</f>
        <v>12</v>
      </c>
      <c r="Q65" s="129">
        <f>P65/P26*Q26</f>
        <v>12</v>
      </c>
      <c r="R65" s="129"/>
      <c r="S65" s="106"/>
      <c r="T65" s="106"/>
      <c r="U65" s="106"/>
      <c r="V65" s="250"/>
      <c r="W65" s="113"/>
      <c r="X65" s="113"/>
      <c r="Y65" s="106"/>
      <c r="Z65" s="106"/>
      <c r="AA65" s="214"/>
      <c r="AB65" s="124"/>
      <c r="AC65" s="7"/>
      <c r="AD65" s="123"/>
      <c r="AE65" s="7"/>
      <c r="AF65" s="7"/>
      <c r="AG65" s="7"/>
      <c r="AH65" s="7"/>
    </row>
    <row r="66" spans="1:34" ht="18" customHeight="1" thickBot="1">
      <c r="A66" s="346" t="s">
        <v>27</v>
      </c>
      <c r="B66" s="347">
        <v>37</v>
      </c>
      <c r="C66" s="348" t="s">
        <v>73</v>
      </c>
      <c r="D66" s="387"/>
      <c r="E66" s="353"/>
      <c r="F66" s="338"/>
      <c r="G66" s="337"/>
      <c r="H66" s="338"/>
      <c r="I66" s="337"/>
      <c r="J66" s="668"/>
      <c r="K66" s="353"/>
      <c r="L66" s="339"/>
      <c r="M66" s="339">
        <f>M65*B25/1000</f>
        <v>0.48</v>
      </c>
      <c r="N66" s="349"/>
      <c r="O66" s="341"/>
      <c r="P66" s="349">
        <f>P65*P25/1000</f>
        <v>1.2</v>
      </c>
      <c r="Q66" s="339">
        <f>P66</f>
        <v>1.2</v>
      </c>
      <c r="R66" s="340"/>
      <c r="S66" s="337"/>
      <c r="T66" s="337"/>
      <c r="U66" s="353"/>
      <c r="V66" s="350"/>
      <c r="W66" s="378"/>
      <c r="X66" s="341"/>
      <c r="Y66" s="337"/>
      <c r="Z66" s="337"/>
      <c r="AA66" s="343">
        <f>ROUND(E66+G66+I66+K66+L66+M66+O66+Q66+S66+T66+U66+V66+X66+Y66+Z66,2)</f>
        <v>1.68</v>
      </c>
      <c r="AB66" s="368">
        <f>AA66*B66</f>
        <v>62.16</v>
      </c>
      <c r="AC66" s="7"/>
      <c r="AD66" s="229">
        <f t="shared" si="2"/>
        <v>3.07</v>
      </c>
      <c r="AE66" s="7" t="str">
        <f>A66</f>
        <v>Лук</v>
      </c>
      <c r="AF66" s="7"/>
      <c r="AG66" s="7"/>
      <c r="AH66" s="7"/>
    </row>
    <row r="67" spans="1:34" ht="15" customHeight="1" thickTop="1">
      <c r="A67" s="133"/>
      <c r="B67" s="122"/>
      <c r="C67" s="77" t="s">
        <v>72</v>
      </c>
      <c r="D67" s="78"/>
      <c r="E67" s="268"/>
      <c r="F67" s="112"/>
      <c r="G67" s="106"/>
      <c r="H67" s="112"/>
      <c r="I67" s="106"/>
      <c r="J67" s="669"/>
      <c r="K67" s="268"/>
      <c r="L67" s="127"/>
      <c r="M67" s="130">
        <v>10.6</v>
      </c>
      <c r="N67" s="274"/>
      <c r="O67" s="499"/>
      <c r="P67" s="177"/>
      <c r="Q67" s="129"/>
      <c r="R67" s="129"/>
      <c r="S67" s="106"/>
      <c r="T67" s="106"/>
      <c r="U67" s="106"/>
      <c r="V67" s="250"/>
      <c r="W67" s="127"/>
      <c r="X67" s="106"/>
      <c r="Y67" s="106"/>
      <c r="Z67" s="106"/>
      <c r="AA67" s="214"/>
      <c r="AB67" s="123"/>
      <c r="AC67" s="7"/>
      <c r="AD67" s="123"/>
      <c r="AE67" s="7"/>
      <c r="AF67" s="7"/>
      <c r="AG67" s="7"/>
      <c r="AH67" s="7"/>
    </row>
    <row r="68" spans="1:34" ht="18" customHeight="1" thickBot="1">
      <c r="A68" s="346" t="s">
        <v>28</v>
      </c>
      <c r="B68" s="347">
        <v>38</v>
      </c>
      <c r="C68" s="348" t="s">
        <v>73</v>
      </c>
      <c r="D68" s="385"/>
      <c r="E68" s="353"/>
      <c r="F68" s="338"/>
      <c r="G68" s="337"/>
      <c r="H68" s="338"/>
      <c r="I68" s="337"/>
      <c r="J68" s="668"/>
      <c r="K68" s="353"/>
      <c r="L68" s="339">
        <f>L67*B25/1000</f>
        <v>0</v>
      </c>
      <c r="M68" s="339">
        <f>M67*B25/1000</f>
        <v>1.06</v>
      </c>
      <c r="N68" s="360"/>
      <c r="O68" s="341"/>
      <c r="P68" s="349"/>
      <c r="Q68" s="340"/>
      <c r="R68" s="340"/>
      <c r="S68" s="337"/>
      <c r="T68" s="337"/>
      <c r="U68" s="353"/>
      <c r="V68" s="350"/>
      <c r="W68" s="341"/>
      <c r="X68" s="337"/>
      <c r="Y68" s="337"/>
      <c r="Z68" s="337"/>
      <c r="AA68" s="343">
        <f>ROUND(E68+G68+I68+K68+L68+M68+N68+O68+Q68+S68+T68+U68+V68+X68+Y68+Z68,2)</f>
        <v>1.06</v>
      </c>
      <c r="AB68" s="344">
        <f>AA68*B68</f>
        <v>40.28</v>
      </c>
      <c r="AC68" s="7"/>
      <c r="AD68" s="229">
        <f t="shared" si="2"/>
        <v>2.02</v>
      </c>
      <c r="AE68" s="7" t="str">
        <f>A68</f>
        <v>Морковь</v>
      </c>
      <c r="AF68" s="7"/>
      <c r="AG68" s="7"/>
      <c r="AH68" s="7"/>
    </row>
    <row r="69" spans="1:34" ht="12" customHeight="1" thickTop="1">
      <c r="A69" s="133"/>
      <c r="B69" s="122"/>
      <c r="C69" s="77" t="s">
        <v>72</v>
      </c>
      <c r="D69" s="502"/>
      <c r="E69" s="129"/>
      <c r="F69" s="112"/>
      <c r="G69" s="106"/>
      <c r="H69" s="112"/>
      <c r="I69" s="106"/>
      <c r="J69" s="563"/>
      <c r="K69" s="268"/>
      <c r="L69" s="184"/>
      <c r="M69" s="128"/>
      <c r="N69" s="405"/>
      <c r="O69" s="268"/>
      <c r="P69" s="177"/>
      <c r="Q69" s="251"/>
      <c r="R69" s="251"/>
      <c r="S69" s="106"/>
      <c r="T69" s="106"/>
      <c r="U69" s="127"/>
      <c r="V69" s="128"/>
      <c r="W69" s="128"/>
      <c r="X69" s="130">
        <v>0.41</v>
      </c>
      <c r="Y69" s="106"/>
      <c r="Z69" s="106"/>
      <c r="AA69" s="214"/>
      <c r="AB69" s="123"/>
      <c r="AC69" s="7"/>
      <c r="AD69" s="123"/>
      <c r="AE69" s="7"/>
      <c r="AF69" s="7"/>
      <c r="AG69" s="7"/>
      <c r="AH69" s="7"/>
    </row>
    <row r="70" spans="1:34" ht="18" customHeight="1" thickBot="1">
      <c r="A70" s="346" t="s">
        <v>290</v>
      </c>
      <c r="B70" s="347">
        <v>950</v>
      </c>
      <c r="C70" s="348" t="s">
        <v>73</v>
      </c>
      <c r="D70" s="363"/>
      <c r="E70" s="350"/>
      <c r="F70" s="338"/>
      <c r="G70" s="337"/>
      <c r="H70" s="338"/>
      <c r="I70" s="337"/>
      <c r="J70" s="668"/>
      <c r="K70" s="353"/>
      <c r="L70" s="341"/>
      <c r="M70" s="342"/>
      <c r="N70" s="360"/>
      <c r="O70" s="353"/>
      <c r="P70" s="349"/>
      <c r="Q70" s="358"/>
      <c r="R70" s="358"/>
      <c r="S70" s="337"/>
      <c r="T70" s="337"/>
      <c r="U70" s="339"/>
      <c r="V70" s="340"/>
      <c r="W70" s="340"/>
      <c r="X70" s="357">
        <f>X69*B25/1000</f>
        <v>4.1000000000000002E-2</v>
      </c>
      <c r="Y70" s="337"/>
      <c r="Z70" s="337"/>
      <c r="AA70" s="1030">
        <f>ROUND(E70+G70+I70+K70+L70+M70+N70+O70+Q70+S70+T70+U70+V70+X70+Y70+Z70,3)</f>
        <v>4.1000000000000002E-2</v>
      </c>
      <c r="AB70" s="344">
        <f>AA70*B70</f>
        <v>38.950000000000003</v>
      </c>
      <c r="AC70" s="7"/>
      <c r="AD70" s="230">
        <f t="shared" si="2"/>
        <v>7.2000000000000008E-2</v>
      </c>
      <c r="AE70" s="7" t="str">
        <f>A70</f>
        <v>Дрожжи  сух</v>
      </c>
      <c r="AF70" s="7"/>
      <c r="AG70" s="7"/>
      <c r="AH70" s="7"/>
    </row>
    <row r="71" spans="1:34" ht="15" customHeight="1" thickTop="1">
      <c r="A71" s="133"/>
      <c r="B71" s="122"/>
      <c r="C71" s="77" t="s">
        <v>72</v>
      </c>
      <c r="D71" s="489">
        <v>20</v>
      </c>
      <c r="E71" s="184">
        <f>D71/D26*E26</f>
        <v>20</v>
      </c>
      <c r="F71" s="112"/>
      <c r="G71" s="106"/>
      <c r="H71" s="112"/>
      <c r="I71" s="106"/>
      <c r="J71" s="457">
        <f>J72/B25*1000</f>
        <v>40</v>
      </c>
      <c r="K71" s="184"/>
      <c r="L71" s="106"/>
      <c r="M71" s="106"/>
      <c r="N71" s="270"/>
      <c r="O71" s="268"/>
      <c r="P71" s="177"/>
      <c r="Q71" s="252"/>
      <c r="R71" s="252"/>
      <c r="S71" s="106"/>
      <c r="T71" s="106"/>
      <c r="U71" s="106"/>
      <c r="V71" s="251"/>
      <c r="W71" s="113"/>
      <c r="X71" s="129"/>
      <c r="Y71" s="106"/>
      <c r="Z71" s="106"/>
      <c r="AA71" s="214"/>
      <c r="AB71" s="123"/>
      <c r="AC71" s="7"/>
      <c r="AD71" s="123"/>
      <c r="AE71" s="7"/>
      <c r="AF71" s="7"/>
      <c r="AG71" s="7"/>
      <c r="AH71" s="7"/>
    </row>
    <row r="72" spans="1:34" ht="18" customHeight="1" thickBot="1">
      <c r="A72" s="346" t="s">
        <v>62</v>
      </c>
      <c r="B72" s="347">
        <v>81.099999999999994</v>
      </c>
      <c r="C72" s="348" t="s">
        <v>73</v>
      </c>
      <c r="D72" s="490">
        <f>D71*F25/1000</f>
        <v>2</v>
      </c>
      <c r="E72" s="341">
        <f>D72</f>
        <v>2</v>
      </c>
      <c r="F72" s="338"/>
      <c r="G72" s="337"/>
      <c r="H72" s="338"/>
      <c r="I72" s="337"/>
      <c r="J72" s="589">
        <v>4</v>
      </c>
      <c r="K72" s="354"/>
      <c r="L72" s="337"/>
      <c r="M72" s="337"/>
      <c r="N72" s="352"/>
      <c r="O72" s="353"/>
      <c r="P72" s="349"/>
      <c r="Q72" s="340"/>
      <c r="R72" s="340"/>
      <c r="S72" s="337"/>
      <c r="T72" s="337"/>
      <c r="U72" s="337"/>
      <c r="V72" s="358"/>
      <c r="W72" s="378"/>
      <c r="X72" s="341"/>
      <c r="Y72" s="337"/>
      <c r="Z72" s="337"/>
      <c r="AA72" s="343">
        <f>ROUND(E72+G72+I72+J72+K72+L72+M72+N72+O72+Q72+S72+T72+U72+V72+X72+Y72+Z72,2)</f>
        <v>6</v>
      </c>
      <c r="AB72" s="344">
        <f>AA72*B72</f>
        <v>486.59999999999997</v>
      </c>
      <c r="AC72" s="7"/>
      <c r="AD72" s="229">
        <f t="shared" si="2"/>
        <v>10</v>
      </c>
      <c r="AE72" s="7" t="str">
        <f>A72</f>
        <v>Батон витам.</v>
      </c>
      <c r="AF72" s="7"/>
      <c r="AG72" s="7"/>
      <c r="AH72" s="7"/>
    </row>
    <row r="73" spans="1:34" ht="16.5" customHeight="1" thickTop="1">
      <c r="A73" s="133"/>
      <c r="B73" s="122"/>
      <c r="C73" s="77" t="s">
        <v>72</v>
      </c>
      <c r="D73" s="287"/>
      <c r="E73" s="268"/>
      <c r="F73" s="112"/>
      <c r="G73" s="106"/>
      <c r="H73" s="112"/>
      <c r="I73" s="106"/>
      <c r="J73" s="669"/>
      <c r="K73" s="268"/>
      <c r="L73" s="106"/>
      <c r="M73" s="106"/>
      <c r="N73" s="270"/>
      <c r="O73" s="268"/>
      <c r="P73" s="177"/>
      <c r="Q73" s="251"/>
      <c r="R73" s="251"/>
      <c r="S73" s="106"/>
      <c r="T73" s="128">
        <f>T74/T25*1000</f>
        <v>40</v>
      </c>
      <c r="U73" s="128"/>
      <c r="V73" s="251"/>
      <c r="W73" s="251"/>
      <c r="X73" s="106"/>
      <c r="Y73" s="106"/>
      <c r="Z73" s="106"/>
      <c r="AA73" s="214"/>
      <c r="AB73" s="123"/>
      <c r="AC73" s="7"/>
      <c r="AD73" s="123"/>
      <c r="AE73" s="7"/>
      <c r="AF73" s="7"/>
      <c r="AG73" s="7"/>
      <c r="AH73" s="7"/>
    </row>
    <row r="74" spans="1:34" ht="18" customHeight="1" thickBot="1">
      <c r="A74" s="346" t="s">
        <v>82</v>
      </c>
      <c r="B74" s="347">
        <v>55</v>
      </c>
      <c r="C74" s="348" t="s">
        <v>73</v>
      </c>
      <c r="D74" s="385"/>
      <c r="E74" s="353"/>
      <c r="F74" s="338"/>
      <c r="G74" s="337"/>
      <c r="H74" s="338"/>
      <c r="I74" s="337"/>
      <c r="J74" s="668"/>
      <c r="K74" s="353"/>
      <c r="L74" s="337"/>
      <c r="M74" s="337"/>
      <c r="N74" s="352"/>
      <c r="O74" s="353"/>
      <c r="P74" s="349"/>
      <c r="Q74" s="358"/>
      <c r="R74" s="358"/>
      <c r="S74" s="337"/>
      <c r="T74" s="342">
        <v>4</v>
      </c>
      <c r="U74" s="342"/>
      <c r="V74" s="358"/>
      <c r="W74" s="358"/>
      <c r="X74" s="337"/>
      <c r="Y74" s="337"/>
      <c r="Z74" s="337"/>
      <c r="AA74" s="343">
        <f>ROUND(E74+G74+I74+K74+L74+M74+N74+O74+Q74+S74+T74+U74+V74+X74+Y74+Z74,2)</f>
        <v>4</v>
      </c>
      <c r="AB74" s="344">
        <f>AA74*B74</f>
        <v>220</v>
      </c>
      <c r="AC74" s="7"/>
      <c r="AD74" s="229">
        <f t="shared" si="2"/>
        <v>7</v>
      </c>
      <c r="AE74" s="7" t="str">
        <f>A74</f>
        <v>Хлеб рж-пшен.</v>
      </c>
      <c r="AF74" s="7"/>
      <c r="AG74" s="7"/>
      <c r="AH74" s="7"/>
    </row>
    <row r="75" spans="1:34" ht="16.5" customHeight="1" thickTop="1">
      <c r="A75" s="133"/>
      <c r="B75" s="122"/>
      <c r="C75" s="77" t="s">
        <v>72</v>
      </c>
      <c r="D75" s="287"/>
      <c r="E75" s="268"/>
      <c r="F75" s="112"/>
      <c r="G75" s="106"/>
      <c r="H75" s="112"/>
      <c r="I75" s="106"/>
      <c r="J75" s="669"/>
      <c r="K75" s="268"/>
      <c r="L75" s="106"/>
      <c r="M75" s="106"/>
      <c r="N75" s="274"/>
      <c r="O75" s="268"/>
      <c r="P75" s="177"/>
      <c r="Q75" s="251"/>
      <c r="R75" s="251"/>
      <c r="S75" s="106"/>
      <c r="T75" s="106"/>
      <c r="U75" s="106"/>
      <c r="V75" s="251"/>
      <c r="W75" s="251"/>
      <c r="X75" s="106"/>
      <c r="Y75" s="106"/>
      <c r="Z75" s="128"/>
      <c r="AA75" s="214"/>
      <c r="AB75" s="123"/>
      <c r="AC75" s="7"/>
      <c r="AD75" s="123"/>
      <c r="AE75" s="7"/>
      <c r="AF75" s="7"/>
      <c r="AG75" s="7"/>
      <c r="AH75" s="7"/>
    </row>
    <row r="76" spans="1:34" ht="18" customHeight="1" thickBot="1">
      <c r="A76" s="346" t="s">
        <v>84</v>
      </c>
      <c r="B76" s="347">
        <v>61.3</v>
      </c>
      <c r="C76" s="348" t="s">
        <v>73</v>
      </c>
      <c r="D76" s="385"/>
      <c r="E76" s="353"/>
      <c r="F76" s="338"/>
      <c r="G76" s="337"/>
      <c r="H76" s="338"/>
      <c r="I76" s="337"/>
      <c r="J76" s="668"/>
      <c r="K76" s="353"/>
      <c r="L76" s="337"/>
      <c r="M76" s="337"/>
      <c r="N76" s="360"/>
      <c r="O76" s="353"/>
      <c r="P76" s="349"/>
      <c r="Q76" s="358"/>
      <c r="R76" s="358"/>
      <c r="S76" s="337"/>
      <c r="T76" s="337"/>
      <c r="U76" s="337"/>
      <c r="V76" s="358"/>
      <c r="W76" s="358"/>
      <c r="X76" s="337"/>
      <c r="Y76" s="337"/>
      <c r="Z76" s="342"/>
      <c r="AA76" s="343">
        <f>ROUND(E76+G76+I76+K76+L76+M76+N76+O76+Q76+S76+T76+U76+V76+X76+Y76+Z76,2)</f>
        <v>0</v>
      </c>
      <c r="AB76" s="344">
        <f>AA76*B76</f>
        <v>0</v>
      </c>
      <c r="AC76" s="7"/>
      <c r="AD76" s="229">
        <f t="shared" si="2"/>
        <v>0</v>
      </c>
      <c r="AE76" s="7" t="str">
        <f>A76</f>
        <v xml:space="preserve">Хлеб  йод. пш. </v>
      </c>
      <c r="AF76" s="7"/>
      <c r="AG76" s="7"/>
      <c r="AH76" s="7"/>
    </row>
    <row r="77" spans="1:34" ht="16.5" customHeight="1" thickTop="1">
      <c r="A77" s="133"/>
      <c r="B77" s="122"/>
      <c r="C77" s="77" t="s">
        <v>72</v>
      </c>
      <c r="D77" s="287"/>
      <c r="E77" s="268"/>
      <c r="F77" s="112"/>
      <c r="G77" s="106"/>
      <c r="H77" s="112"/>
      <c r="I77" s="106"/>
      <c r="J77" s="669"/>
      <c r="K77" s="268"/>
      <c r="L77" s="106"/>
      <c r="M77" s="130">
        <v>21.8</v>
      </c>
      <c r="N77" s="270"/>
      <c r="O77" s="268"/>
      <c r="P77" s="177"/>
      <c r="Q77" s="251"/>
      <c r="R77" s="251"/>
      <c r="S77" s="106"/>
      <c r="T77" s="106"/>
      <c r="U77" s="106"/>
      <c r="V77" s="130"/>
      <c r="W77" s="251"/>
      <c r="X77" s="106"/>
      <c r="Y77" s="127"/>
      <c r="Z77" s="106"/>
      <c r="AA77" s="213"/>
      <c r="AB77" s="123"/>
      <c r="AC77" s="7"/>
      <c r="AD77" s="123"/>
      <c r="AE77" s="7"/>
      <c r="AF77" s="7"/>
      <c r="AG77" s="7"/>
      <c r="AH77" s="7"/>
    </row>
    <row r="78" spans="1:34" ht="18" customHeight="1" thickBot="1">
      <c r="A78" s="346" t="s">
        <v>279</v>
      </c>
      <c r="B78" s="347">
        <v>85</v>
      </c>
      <c r="C78" s="348" t="s">
        <v>73</v>
      </c>
      <c r="D78" s="385"/>
      <c r="E78" s="353"/>
      <c r="F78" s="338"/>
      <c r="G78" s="337"/>
      <c r="H78" s="338"/>
      <c r="I78" s="337"/>
      <c r="J78" s="668"/>
      <c r="K78" s="353"/>
      <c r="L78" s="337"/>
      <c r="M78" s="339">
        <f>M77*B25/1000</f>
        <v>2.1800000000000002</v>
      </c>
      <c r="N78" s="675"/>
      <c r="O78" s="353"/>
      <c r="P78" s="349"/>
      <c r="Q78" s="358"/>
      <c r="R78" s="358"/>
      <c r="S78" s="337"/>
      <c r="T78" s="337"/>
      <c r="U78" s="337"/>
      <c r="V78" s="350"/>
      <c r="W78" s="358"/>
      <c r="X78" s="337"/>
      <c r="Y78" s="339"/>
      <c r="Z78" s="381"/>
      <c r="AA78" s="343">
        <f>ROUND(E78+G78+I78+K78+L78+M78+N78+O78+Q78+S78+T78+U78+V78+X78+Y78+Z78,3)</f>
        <v>2.1800000000000002</v>
      </c>
      <c r="AB78" s="344">
        <f>AA78*B78</f>
        <v>185.3</v>
      </c>
      <c r="AC78" s="7"/>
      <c r="AD78" s="230">
        <f t="shared" si="2"/>
        <v>2.1800000000000002</v>
      </c>
      <c r="AE78" s="7" t="str">
        <f>A78</f>
        <v>Огурцы конс.</v>
      </c>
      <c r="AF78" s="7"/>
      <c r="AG78" s="7"/>
      <c r="AH78" s="7"/>
    </row>
    <row r="79" spans="1:34" ht="16.5" customHeight="1" thickTop="1">
      <c r="A79" s="133"/>
      <c r="B79" s="122"/>
      <c r="C79" s="77" t="s">
        <v>72</v>
      </c>
      <c r="D79" s="287"/>
      <c r="E79" s="268"/>
      <c r="F79" s="112"/>
      <c r="G79" s="106"/>
      <c r="H79" s="112">
        <v>0.5</v>
      </c>
      <c r="I79" s="128">
        <f>H79/H26*I26</f>
        <v>0.5</v>
      </c>
      <c r="J79" s="669"/>
      <c r="K79" s="268"/>
      <c r="L79" s="106"/>
      <c r="M79" s="106"/>
      <c r="N79" s="270"/>
      <c r="O79" s="268"/>
      <c r="P79" s="177"/>
      <c r="Q79" s="251"/>
      <c r="R79" s="251"/>
      <c r="S79" s="106"/>
      <c r="T79" s="106"/>
      <c r="U79" s="106"/>
      <c r="V79" s="251"/>
      <c r="W79" s="251"/>
      <c r="X79" s="106"/>
      <c r="Y79" s="106"/>
      <c r="Z79" s="106"/>
      <c r="AA79" s="214"/>
      <c r="AB79" s="123"/>
      <c r="AC79" s="7"/>
      <c r="AD79" s="123"/>
      <c r="AE79" s="7"/>
      <c r="AF79" s="7"/>
      <c r="AG79" s="7"/>
      <c r="AH79" s="7"/>
    </row>
    <row r="80" spans="1:34" ht="18" customHeight="1" thickBot="1">
      <c r="A80" s="346" t="s">
        <v>29</v>
      </c>
      <c r="B80" s="347">
        <v>500</v>
      </c>
      <c r="C80" s="348" t="s">
        <v>73</v>
      </c>
      <c r="D80" s="385"/>
      <c r="E80" s="353"/>
      <c r="F80" s="338"/>
      <c r="G80" s="337"/>
      <c r="H80" s="338">
        <f>H79*F25/1000</f>
        <v>0.05</v>
      </c>
      <c r="I80" s="357">
        <f>H80</f>
        <v>0.05</v>
      </c>
      <c r="J80" s="668"/>
      <c r="K80" s="353"/>
      <c r="L80" s="337"/>
      <c r="M80" s="337"/>
      <c r="N80" s="352"/>
      <c r="O80" s="353"/>
      <c r="P80" s="349"/>
      <c r="Q80" s="358"/>
      <c r="R80" s="358"/>
      <c r="S80" s="337"/>
      <c r="T80" s="337"/>
      <c r="U80" s="337"/>
      <c r="V80" s="358"/>
      <c r="W80" s="358"/>
      <c r="X80" s="358"/>
      <c r="Y80" s="357"/>
      <c r="Z80" s="337"/>
      <c r="AA80" s="356">
        <f>ROUND(E80+G80+I80+K80+L80+M80+N80+O80+Q80+S80+T80+U80+V80+X80+Y80+Z80,3)</f>
        <v>0.05</v>
      </c>
      <c r="AB80" s="344">
        <f>AA80*B80</f>
        <v>25</v>
      </c>
      <c r="AC80" s="7"/>
      <c r="AD80" s="230">
        <f t="shared" si="2"/>
        <v>0.08</v>
      </c>
      <c r="AE80" s="7" t="str">
        <f>A80</f>
        <v>Чай</v>
      </c>
      <c r="AF80" s="7"/>
      <c r="AG80" s="7"/>
      <c r="AH80" s="7"/>
    </row>
    <row r="81" spans="1:34" ht="18" customHeight="1" thickTop="1">
      <c r="A81" s="133"/>
      <c r="B81" s="122"/>
      <c r="C81" s="77" t="s">
        <v>72</v>
      </c>
      <c r="D81" s="108"/>
      <c r="E81" s="129"/>
      <c r="F81" s="112"/>
      <c r="G81" s="106"/>
      <c r="H81" s="108"/>
      <c r="I81" s="113"/>
      <c r="J81" s="669"/>
      <c r="K81" s="268"/>
      <c r="L81" s="114"/>
      <c r="M81" s="106"/>
      <c r="N81" s="270"/>
      <c r="O81" s="268"/>
      <c r="P81" s="177"/>
      <c r="Q81" s="251"/>
      <c r="R81" s="130"/>
      <c r="S81" s="106"/>
      <c r="T81" s="106"/>
      <c r="U81" s="106"/>
      <c r="V81" s="251"/>
      <c r="W81" s="251"/>
      <c r="X81" s="256"/>
      <c r="Y81" s="251"/>
      <c r="Z81" s="106"/>
      <c r="AA81" s="214"/>
      <c r="AB81" s="123"/>
      <c r="AC81" s="7"/>
      <c r="AD81" s="123"/>
      <c r="AE81" s="7"/>
      <c r="AF81" s="7"/>
      <c r="AG81" s="7"/>
      <c r="AH81" s="7"/>
    </row>
    <row r="82" spans="1:34" ht="18" customHeight="1" thickBot="1">
      <c r="A82" s="346"/>
      <c r="B82" s="347"/>
      <c r="C82" s="348" t="s">
        <v>73</v>
      </c>
      <c r="D82" s="349"/>
      <c r="E82" s="341"/>
      <c r="F82" s="338"/>
      <c r="G82" s="337"/>
      <c r="H82" s="349"/>
      <c r="I82" s="350"/>
      <c r="J82" s="668"/>
      <c r="K82" s="353"/>
      <c r="L82" s="342"/>
      <c r="M82" s="337"/>
      <c r="N82" s="352"/>
      <c r="O82" s="353"/>
      <c r="P82" s="349"/>
      <c r="Q82" s="358"/>
      <c r="R82" s="339"/>
      <c r="S82" s="337"/>
      <c r="T82" s="337"/>
      <c r="U82" s="337"/>
      <c r="V82" s="358"/>
      <c r="W82" s="358"/>
      <c r="X82" s="340"/>
      <c r="Y82" s="358"/>
      <c r="Z82" s="337"/>
      <c r="AA82" s="343">
        <f>ROUND(E82+G82+I82+K82+L82+M82+N82+O82+Q82+R82+S82+T82+U82+V82+X82+Y82+Z82,2)</f>
        <v>0</v>
      </c>
      <c r="AB82" s="344">
        <f>AA82*B82</f>
        <v>0</v>
      </c>
      <c r="AC82" s="7"/>
      <c r="AD82" s="229">
        <f t="shared" si="2"/>
        <v>0</v>
      </c>
      <c r="AE82" s="7">
        <f>A82</f>
        <v>0</v>
      </c>
      <c r="AF82" s="7"/>
      <c r="AG82" s="7"/>
      <c r="AH82" s="7"/>
    </row>
    <row r="83" spans="1:34" ht="18" customHeight="1" thickTop="1">
      <c r="A83" s="133"/>
      <c r="B83" s="122"/>
      <c r="C83" s="77" t="s">
        <v>72</v>
      </c>
      <c r="D83" s="287"/>
      <c r="E83" s="268"/>
      <c r="F83" s="112"/>
      <c r="G83" s="106"/>
      <c r="H83" s="112"/>
      <c r="I83" s="106"/>
      <c r="J83" s="669"/>
      <c r="K83" s="268"/>
      <c r="L83" s="130"/>
      <c r="M83" s="130"/>
      <c r="N83" s="274"/>
      <c r="O83" s="272"/>
      <c r="P83" s="108">
        <f>0.4/100*P26</f>
        <v>0.4</v>
      </c>
      <c r="Q83" s="129">
        <f>P83/P26*Q26</f>
        <v>0.4</v>
      </c>
      <c r="R83" s="129"/>
      <c r="S83" s="106"/>
      <c r="T83" s="106"/>
      <c r="U83" s="106"/>
      <c r="V83" s="250"/>
      <c r="W83" s="250"/>
      <c r="X83" s="106"/>
      <c r="Y83" s="106"/>
      <c r="Z83" s="106"/>
      <c r="AA83" s="214"/>
      <c r="AB83" s="123"/>
      <c r="AC83" s="7"/>
      <c r="AD83" s="123"/>
      <c r="AE83" s="7"/>
      <c r="AF83" s="7"/>
      <c r="AG83" s="7"/>
      <c r="AH83" s="7"/>
    </row>
    <row r="84" spans="1:34" ht="18" customHeight="1" thickBot="1">
      <c r="A84" s="346" t="s">
        <v>99</v>
      </c>
      <c r="B84" s="347">
        <v>370</v>
      </c>
      <c r="C84" s="348" t="s">
        <v>73</v>
      </c>
      <c r="D84" s="385"/>
      <c r="E84" s="353"/>
      <c r="F84" s="338"/>
      <c r="G84" s="337"/>
      <c r="H84" s="338"/>
      <c r="I84" s="337"/>
      <c r="J84" s="668"/>
      <c r="K84" s="353"/>
      <c r="L84" s="339"/>
      <c r="M84" s="339"/>
      <c r="N84" s="360"/>
      <c r="O84" s="341"/>
      <c r="P84" s="349">
        <f>P83*P25/1000</f>
        <v>0.04</v>
      </c>
      <c r="Q84" s="339">
        <f>P84</f>
        <v>0.04</v>
      </c>
      <c r="R84" s="340"/>
      <c r="S84" s="337"/>
      <c r="T84" s="337"/>
      <c r="U84" s="353"/>
      <c r="V84" s="350"/>
      <c r="W84" s="350"/>
      <c r="X84" s="337"/>
      <c r="Y84" s="337"/>
      <c r="Z84" s="337"/>
      <c r="AA84" s="343">
        <f>ROUND(E84+G84+I84+K84+L84+M84+N84+O84+Q84+S84+T84+U84+V84+X84+Y84+Z84,2)</f>
        <v>0.04</v>
      </c>
      <c r="AB84" s="344">
        <f>AA84*B84</f>
        <v>14.8</v>
      </c>
      <c r="AC84" s="7"/>
      <c r="AD84" s="229">
        <f t="shared" si="2"/>
        <v>0.04</v>
      </c>
      <c r="AE84" s="7" t="str">
        <f>A84</f>
        <v>Томатная паста</v>
      </c>
      <c r="AF84" s="7"/>
      <c r="AG84" s="7"/>
      <c r="AH84" s="7"/>
    </row>
    <row r="85" spans="1:34" ht="18" customHeight="1" thickTop="1">
      <c r="A85" s="133"/>
      <c r="B85" s="122"/>
      <c r="C85" s="77" t="s">
        <v>72</v>
      </c>
      <c r="D85" s="287"/>
      <c r="E85" s="271"/>
      <c r="F85" s="112"/>
      <c r="G85" s="105"/>
      <c r="H85" s="112"/>
      <c r="I85" s="105"/>
      <c r="J85" s="669"/>
      <c r="K85" s="271"/>
      <c r="L85" s="127"/>
      <c r="M85" s="105"/>
      <c r="N85" s="273"/>
      <c r="O85" s="271"/>
      <c r="P85" s="112"/>
      <c r="Q85" s="105"/>
      <c r="R85" s="105"/>
      <c r="S85" s="127">
        <v>0.18</v>
      </c>
      <c r="T85" s="105"/>
      <c r="U85" s="105"/>
      <c r="V85" s="127"/>
      <c r="W85" s="127"/>
      <c r="X85" s="105"/>
      <c r="Y85" s="105"/>
      <c r="Z85" s="105"/>
      <c r="AA85" s="214"/>
      <c r="AB85" s="123"/>
      <c r="AC85" s="7"/>
      <c r="AD85" s="123"/>
      <c r="AE85" s="7"/>
      <c r="AF85" s="7"/>
      <c r="AG85" s="7"/>
      <c r="AH85" s="7"/>
    </row>
    <row r="86" spans="1:34" ht="18" customHeight="1" thickBot="1">
      <c r="A86" s="346" t="s">
        <v>75</v>
      </c>
      <c r="B86" s="347">
        <v>900</v>
      </c>
      <c r="C86" s="348" t="s">
        <v>73</v>
      </c>
      <c r="D86" s="385"/>
      <c r="E86" s="353"/>
      <c r="F86" s="338"/>
      <c r="G86" s="337"/>
      <c r="H86" s="338"/>
      <c r="I86" s="337"/>
      <c r="J86" s="668"/>
      <c r="K86" s="353"/>
      <c r="L86" s="357"/>
      <c r="M86" s="337"/>
      <c r="N86" s="360"/>
      <c r="O86" s="353"/>
      <c r="P86" s="338"/>
      <c r="Q86" s="337"/>
      <c r="R86" s="337"/>
      <c r="S86" s="357">
        <f>S85*B25/1000</f>
        <v>1.7999999999999999E-2</v>
      </c>
      <c r="T86" s="337"/>
      <c r="U86" s="337"/>
      <c r="V86" s="355"/>
      <c r="W86" s="357"/>
      <c r="X86" s="337"/>
      <c r="Y86" s="337"/>
      <c r="Z86" s="337"/>
      <c r="AA86" s="356">
        <f>ROUND(E86+G86+I86+K86+L86+M86+N86+O86+Q86+S86+T86+U86+V86+X86+Y86+Z86,3)</f>
        <v>1.7999999999999999E-2</v>
      </c>
      <c r="AB86" s="344">
        <f>AA86*B86</f>
        <v>16.2</v>
      </c>
      <c r="AC86" s="7"/>
      <c r="AD86" s="230">
        <f t="shared" si="2"/>
        <v>3.3000000000000002E-2</v>
      </c>
      <c r="AE86" s="7" t="str">
        <f>A86</f>
        <v>Лимонная к-та</v>
      </c>
      <c r="AF86" s="7"/>
      <c r="AG86" s="7"/>
      <c r="AH86" s="7"/>
    </row>
    <row r="87" spans="1:34" ht="18" customHeight="1" thickTop="1">
      <c r="A87" s="133"/>
      <c r="B87" s="122"/>
      <c r="C87" s="77" t="s">
        <v>72</v>
      </c>
      <c r="D87" s="497"/>
      <c r="E87" s="129"/>
      <c r="F87" s="112"/>
      <c r="G87" s="106"/>
      <c r="H87" s="112"/>
      <c r="I87" s="106"/>
      <c r="J87" s="669"/>
      <c r="K87" s="268"/>
      <c r="L87" s="184"/>
      <c r="M87" s="106"/>
      <c r="N87" s="269"/>
      <c r="O87" s="268"/>
      <c r="P87" s="112"/>
      <c r="Q87" s="106"/>
      <c r="R87" s="106"/>
      <c r="S87" s="106"/>
      <c r="T87" s="106"/>
      <c r="U87" s="106"/>
      <c r="V87" s="106"/>
      <c r="W87" s="106"/>
      <c r="X87" s="130">
        <v>22</v>
      </c>
      <c r="Y87" s="106"/>
      <c r="Z87" s="106"/>
      <c r="AA87" s="214"/>
      <c r="AB87" s="123"/>
      <c r="AC87" s="7"/>
      <c r="AD87" s="123"/>
      <c r="AE87" s="7"/>
      <c r="AF87" s="7"/>
      <c r="AG87" s="7"/>
      <c r="AH87" s="7"/>
    </row>
    <row r="88" spans="1:34" ht="18" customHeight="1" thickBot="1">
      <c r="A88" s="346" t="s">
        <v>102</v>
      </c>
      <c r="B88" s="347">
        <v>180</v>
      </c>
      <c r="C88" s="348" t="s">
        <v>73</v>
      </c>
      <c r="D88" s="363"/>
      <c r="E88" s="341"/>
      <c r="F88" s="338"/>
      <c r="G88" s="337"/>
      <c r="H88" s="338"/>
      <c r="I88" s="337"/>
      <c r="J88" s="668"/>
      <c r="K88" s="353"/>
      <c r="L88" s="341"/>
      <c r="M88" s="337"/>
      <c r="N88" s="352"/>
      <c r="O88" s="353"/>
      <c r="P88" s="338"/>
      <c r="Q88" s="337"/>
      <c r="R88" s="337"/>
      <c r="S88" s="337"/>
      <c r="T88" s="337"/>
      <c r="U88" s="337"/>
      <c r="V88" s="337"/>
      <c r="W88" s="337"/>
      <c r="X88" s="339">
        <f>X87*B25/1000</f>
        <v>2.2000000000000002</v>
      </c>
      <c r="Y88" s="337"/>
      <c r="Z88" s="337"/>
      <c r="AA88" s="343">
        <f>ROUND(E88+G88+I88+K88+L88+M88+N88+O88+Q88+S88+T88+U88+V88+X88+Y88+Z88,2)</f>
        <v>2.2000000000000002</v>
      </c>
      <c r="AB88" s="344">
        <f>AA88*B88</f>
        <v>396.00000000000006</v>
      </c>
      <c r="AC88" s="7"/>
      <c r="AD88" s="230">
        <f t="shared" si="2"/>
        <v>3.85</v>
      </c>
      <c r="AE88" s="7" t="str">
        <f>A88</f>
        <v>Повидло</v>
      </c>
      <c r="AF88" s="7"/>
      <c r="AG88" s="7"/>
      <c r="AH88" s="7"/>
    </row>
    <row r="89" spans="1:34" ht="18" customHeight="1" thickTop="1">
      <c r="A89" s="133"/>
      <c r="B89" s="122"/>
      <c r="C89" s="77" t="s">
        <v>72</v>
      </c>
      <c r="D89" s="287"/>
      <c r="E89" s="268"/>
      <c r="F89" s="112">
        <v>0.3</v>
      </c>
      <c r="G89" s="114">
        <f>F89/F26*G26</f>
        <v>0.3</v>
      </c>
      <c r="H89" s="112"/>
      <c r="I89" s="106"/>
      <c r="J89" s="669"/>
      <c r="K89" s="268"/>
      <c r="L89" s="130">
        <v>0.2</v>
      </c>
      <c r="M89" s="127">
        <v>0.5</v>
      </c>
      <c r="N89" s="270"/>
      <c r="O89" s="268"/>
      <c r="P89" s="112">
        <v>0.4</v>
      </c>
      <c r="Q89" s="114">
        <f>P89/P26*Q26</f>
        <v>0.4</v>
      </c>
      <c r="R89" s="130">
        <v>1.3</v>
      </c>
      <c r="S89" s="106"/>
      <c r="T89" s="106"/>
      <c r="U89" s="106"/>
      <c r="V89" s="127"/>
      <c r="W89" s="106"/>
      <c r="X89" s="127">
        <v>0.9</v>
      </c>
      <c r="Y89" s="106"/>
      <c r="Z89" s="106"/>
      <c r="AA89" s="214"/>
      <c r="AB89" s="123"/>
      <c r="AC89" s="7"/>
      <c r="AD89" s="123"/>
      <c r="AE89" s="7"/>
      <c r="AF89" s="7"/>
      <c r="AG89" s="7"/>
      <c r="AH89" s="7"/>
    </row>
    <row r="90" spans="1:34" ht="18" customHeight="1" thickBot="1">
      <c r="A90" s="346" t="s">
        <v>138</v>
      </c>
      <c r="B90" s="347">
        <v>28</v>
      </c>
      <c r="C90" s="348" t="s">
        <v>73</v>
      </c>
      <c r="D90" s="385"/>
      <c r="E90" s="353"/>
      <c r="F90" s="338">
        <f>F89*F25/1000</f>
        <v>0.03</v>
      </c>
      <c r="G90" s="339">
        <f>ROUND(F90,2)</f>
        <v>0.03</v>
      </c>
      <c r="H90" s="338"/>
      <c r="I90" s="337"/>
      <c r="J90" s="668"/>
      <c r="K90" s="353"/>
      <c r="L90" s="339">
        <f>L89*B25/1000</f>
        <v>0.02</v>
      </c>
      <c r="M90" s="342">
        <f>M89*B25/1000</f>
        <v>0.05</v>
      </c>
      <c r="N90" s="361"/>
      <c r="O90" s="341"/>
      <c r="P90" s="349">
        <f>P89*P25/1000</f>
        <v>0.04</v>
      </c>
      <c r="Q90" s="339">
        <f>ROUND(P90,2)</f>
        <v>0.04</v>
      </c>
      <c r="R90" s="339">
        <f>R89*B25/1000</f>
        <v>0.13</v>
      </c>
      <c r="S90" s="337"/>
      <c r="T90" s="337"/>
      <c r="U90" s="614"/>
      <c r="V90" s="678">
        <f>V89*V25/1000</f>
        <v>0</v>
      </c>
      <c r="W90" s="337"/>
      <c r="X90" s="339">
        <f>ROUND(X89*B25/1000,2)</f>
        <v>0.09</v>
      </c>
      <c r="Y90" s="337"/>
      <c r="Z90" s="337"/>
      <c r="AA90" s="343">
        <f>ROUND(E90+G90+I90+K90+L90+M90+N90+O90+Q90+R90+S90+T90+U90+V90+X90+Y90+Z90,2)</f>
        <v>0.36</v>
      </c>
      <c r="AB90" s="344">
        <f>AA90*B90</f>
        <v>10.08</v>
      </c>
      <c r="AC90" s="7"/>
      <c r="AD90" s="229">
        <f t="shared" si="2"/>
        <v>0.62</v>
      </c>
      <c r="AE90" s="7" t="str">
        <f>A90</f>
        <v>Соль иодиров.</v>
      </c>
      <c r="AF90" s="7"/>
      <c r="AG90" s="7"/>
      <c r="AH90" s="7"/>
    </row>
    <row r="91" spans="1:34" ht="18" customHeight="1" thickTop="1">
      <c r="A91" s="133"/>
      <c r="B91" s="122"/>
      <c r="C91" s="77" t="s">
        <v>72</v>
      </c>
      <c r="D91" s="287"/>
      <c r="E91" s="268"/>
      <c r="F91" s="112"/>
      <c r="G91" s="106"/>
      <c r="H91" s="112"/>
      <c r="I91" s="106"/>
      <c r="J91" s="669"/>
      <c r="K91" s="268"/>
      <c r="L91" s="184"/>
      <c r="M91" s="106"/>
      <c r="N91" s="274"/>
      <c r="O91" s="268"/>
      <c r="P91" s="112"/>
      <c r="Q91" s="113"/>
      <c r="R91" s="113"/>
      <c r="S91" s="106"/>
      <c r="T91" s="106"/>
      <c r="U91" s="106"/>
      <c r="V91" s="127"/>
      <c r="W91" s="127"/>
      <c r="X91" s="130"/>
      <c r="Y91" s="106"/>
      <c r="Z91" s="106"/>
      <c r="AA91" s="215"/>
      <c r="AB91" s="216"/>
      <c r="AC91" s="7"/>
      <c r="AD91" s="123"/>
      <c r="AE91" s="7"/>
      <c r="AF91" s="7"/>
      <c r="AG91" s="7"/>
      <c r="AH91" s="7"/>
    </row>
    <row r="92" spans="1:34" ht="18" customHeight="1" thickBot="1">
      <c r="A92" s="346"/>
      <c r="B92" s="347"/>
      <c r="C92" s="348" t="s">
        <v>73</v>
      </c>
      <c r="D92" s="385"/>
      <c r="E92" s="353"/>
      <c r="F92" s="338"/>
      <c r="G92" s="337"/>
      <c r="H92" s="338"/>
      <c r="I92" s="337"/>
      <c r="J92" s="668"/>
      <c r="K92" s="353"/>
      <c r="L92" s="341"/>
      <c r="M92" s="337"/>
      <c r="N92" s="360"/>
      <c r="O92" s="353"/>
      <c r="P92" s="349"/>
      <c r="Q92" s="340"/>
      <c r="R92" s="340"/>
      <c r="S92" s="337"/>
      <c r="T92" s="337"/>
      <c r="U92" s="353"/>
      <c r="V92" s="350"/>
      <c r="W92" s="341"/>
      <c r="X92" s="339"/>
      <c r="Y92" s="337"/>
      <c r="Z92" s="337"/>
      <c r="AA92" s="343">
        <f>ROUND(E92+G92+I92+K92+L92+M92+N92+O92+Q92+S92+T92+V92+X92+Y92+Z92,2)</f>
        <v>0</v>
      </c>
      <c r="AB92" s="344">
        <f>AA92*B92</f>
        <v>0</v>
      </c>
      <c r="AC92" s="7"/>
      <c r="AD92" s="229">
        <f t="shared" si="2"/>
        <v>0</v>
      </c>
      <c r="AE92" s="7">
        <f>A92</f>
        <v>0</v>
      </c>
      <c r="AF92" s="7"/>
      <c r="AG92" s="7"/>
      <c r="AH92" s="7"/>
    </row>
    <row r="93" spans="1:34" ht="18" customHeight="1" thickTop="1">
      <c r="A93" s="389"/>
      <c r="B93" s="390"/>
      <c r="C93" s="391" t="s">
        <v>72</v>
      </c>
      <c r="D93" s="503"/>
      <c r="E93" s="487"/>
      <c r="F93" s="392"/>
      <c r="G93" s="417"/>
      <c r="H93" s="392"/>
      <c r="I93" s="393"/>
      <c r="J93" s="674"/>
      <c r="K93" s="487"/>
      <c r="L93" s="393"/>
      <c r="M93" s="393"/>
      <c r="N93" s="676"/>
      <c r="O93" s="487"/>
      <c r="P93" s="392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418"/>
      <c r="AB93" s="419"/>
      <c r="AC93" s="7"/>
      <c r="AD93" s="123"/>
      <c r="AE93" s="7"/>
      <c r="AF93" s="7"/>
      <c r="AG93" s="7"/>
      <c r="AH93" s="7"/>
    </row>
    <row r="94" spans="1:34" ht="18" customHeight="1" thickBot="1">
      <c r="A94" s="346"/>
      <c r="B94" s="362"/>
      <c r="C94" s="348" t="s">
        <v>73</v>
      </c>
      <c r="D94" s="385"/>
      <c r="E94" s="353"/>
      <c r="F94" s="363"/>
      <c r="G94" s="340"/>
      <c r="H94" s="338"/>
      <c r="I94" s="337"/>
      <c r="J94" s="668"/>
      <c r="K94" s="353"/>
      <c r="L94" s="337"/>
      <c r="M94" s="337"/>
      <c r="N94" s="352"/>
      <c r="O94" s="353"/>
      <c r="P94" s="338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43">
        <f>ROUND(E94+G94+I94+K94+L94+M94+N94+O94+Q94+S94+T94+V94+X94+Y94+Z94,2)</f>
        <v>0</v>
      </c>
      <c r="AB94" s="344">
        <f>AA94*B94</f>
        <v>0</v>
      </c>
      <c r="AC94" s="7"/>
      <c r="AD94" s="229">
        <f t="shared" si="2"/>
        <v>0</v>
      </c>
      <c r="AE94" s="7">
        <f>A94</f>
        <v>0</v>
      </c>
      <c r="AF94" s="7"/>
      <c r="AG94" s="7"/>
      <c r="AH94" s="7"/>
    </row>
    <row r="95" spans="1:34" ht="18" customHeight="1">
      <c r="A95" s="136"/>
      <c r="B95" s="6"/>
      <c r="C95" s="75"/>
      <c r="D95" s="298"/>
      <c r="E95" s="271"/>
      <c r="F95" s="112"/>
      <c r="G95" s="105"/>
      <c r="H95" s="112"/>
      <c r="I95" s="105"/>
      <c r="J95" s="669"/>
      <c r="K95" s="271"/>
      <c r="L95" s="105"/>
      <c r="M95" s="105"/>
      <c r="N95" s="273"/>
      <c r="O95" s="271"/>
      <c r="P95" s="112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25"/>
      <c r="AB95" s="126">
        <f>AB28+AB30+AB32+AB34+AB36+AB38+AB40+AB42+AB44+AB46+AB48+AB50+AB52+AB62+AB64+AB66+AB68+AB70+AB72+AB74+AB76+AB78+AB80+AB82+AB84+AB86+AB88+AB90+AB92+AB94</f>
        <v>12133.051699999998</v>
      </c>
      <c r="AC95" s="7"/>
      <c r="AD95" s="123"/>
      <c r="AE95" s="7"/>
      <c r="AF95" s="7"/>
      <c r="AG95" s="7"/>
      <c r="AH95" s="7"/>
    </row>
    <row r="96" spans="1:34" ht="9.75" customHeight="1"/>
    <row r="97" spans="1:28">
      <c r="A97" s="43" t="s">
        <v>315</v>
      </c>
      <c r="S97" s="43" t="s">
        <v>30</v>
      </c>
      <c r="AB97" s="118">
        <f>K13</f>
        <v>11000</v>
      </c>
    </row>
    <row r="98" spans="1:28" ht="9" customHeight="1">
      <c r="A98" s="43" t="s">
        <v>50</v>
      </c>
      <c r="S98" s="43" t="s">
        <v>31</v>
      </c>
    </row>
    <row r="99" spans="1:28" ht="19.5" customHeight="1">
      <c r="A99" s="43" t="s">
        <v>318</v>
      </c>
      <c r="S99" s="43" t="s">
        <v>330</v>
      </c>
    </row>
    <row r="100" spans="1:28" ht="9" customHeight="1">
      <c r="A100" s="43" t="s">
        <v>37</v>
      </c>
      <c r="S100" s="43" t="s">
        <v>31</v>
      </c>
    </row>
    <row r="101" spans="1:28" ht="9.75" customHeight="1">
      <c r="A101" s="3" t="s">
        <v>319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U101" s="7"/>
      <c r="X101" s="10"/>
      <c r="Y101" s="10"/>
      <c r="Z101" s="10"/>
      <c r="AA101" s="11"/>
      <c r="AB101" s="11"/>
    </row>
    <row r="102" spans="1:28" ht="18">
      <c r="A102" s="9" t="s">
        <v>2</v>
      </c>
      <c r="B102" s="8"/>
      <c r="C102" s="8"/>
      <c r="D102" s="8"/>
      <c r="E102" s="8"/>
      <c r="F102" s="11"/>
      <c r="G102" s="8"/>
      <c r="H102" s="8"/>
      <c r="I102" s="8"/>
      <c r="J102" s="8"/>
      <c r="K102" s="8"/>
      <c r="L102" s="8"/>
      <c r="M102" s="8"/>
      <c r="N102" s="8"/>
      <c r="O102" s="1060" t="s">
        <v>80</v>
      </c>
      <c r="P102" s="1060"/>
      <c r="Q102" s="1060"/>
      <c r="R102" s="1060"/>
      <c r="S102" s="1060"/>
      <c r="T102" s="1060"/>
      <c r="U102" s="1060"/>
      <c r="V102" s="1060"/>
      <c r="W102" s="1060"/>
      <c r="X102" s="1060"/>
      <c r="Y102" s="1060"/>
      <c r="Z102" s="1060"/>
      <c r="AA102" s="1060"/>
      <c r="AB102" s="1060"/>
    </row>
    <row r="103" spans="1:28" ht="18.75">
      <c r="A103" s="757" t="str">
        <f>A4</f>
        <v>"08"   января  2024  г.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"/>
      <c r="U103" s="1"/>
    </row>
    <row r="104" spans="1:28" ht="2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2"/>
      <c r="N104" s="3"/>
      <c r="O104" s="2"/>
      <c r="P104" s="2"/>
      <c r="Q104" s="2"/>
      <c r="R104" s="2"/>
      <c r="S104" s="2"/>
      <c r="T104" s="1"/>
      <c r="U104" s="1"/>
      <c r="V104" s="7"/>
      <c r="W104" s="7"/>
      <c r="X104" s="7"/>
      <c r="Y104" s="7"/>
      <c r="Z104" s="7"/>
    </row>
    <row r="105" spans="1:28" ht="13.5" thickBot="1">
      <c r="A105" s="1048" t="s">
        <v>42</v>
      </c>
      <c r="B105" s="1048"/>
      <c r="C105" s="1048"/>
      <c r="D105" s="992"/>
      <c r="E105" s="1047" t="s">
        <v>35</v>
      </c>
      <c r="F105" s="1048"/>
      <c r="G105" s="1049"/>
      <c r="H105" s="1047" t="s">
        <v>60</v>
      </c>
      <c r="I105" s="1048"/>
      <c r="J105" s="1049"/>
      <c r="K105" s="1047" t="s">
        <v>58</v>
      </c>
      <c r="L105" s="1048"/>
      <c r="M105" s="1048"/>
      <c r="N105" s="31"/>
      <c r="O105" s="21"/>
      <c r="P105" s="31"/>
      <c r="Q105" s="21"/>
      <c r="R105" s="3"/>
      <c r="S105" s="3"/>
      <c r="T105" s="7"/>
      <c r="U105" s="7"/>
      <c r="V105" s="7"/>
      <c r="W105" s="7"/>
      <c r="X105" s="7"/>
      <c r="Y105" s="7"/>
      <c r="Z105" s="7"/>
      <c r="AA105" s="1088" t="s">
        <v>0</v>
      </c>
      <c r="AB105" s="1089"/>
    </row>
    <row r="106" spans="1:28" ht="6.75" customHeight="1">
      <c r="A106" s="1059" t="s">
        <v>43</v>
      </c>
      <c r="B106" s="1059"/>
      <c r="C106" s="1059"/>
      <c r="D106" s="1001"/>
      <c r="E106" s="1065" t="s">
        <v>34</v>
      </c>
      <c r="F106" s="1066"/>
      <c r="G106" s="1067"/>
      <c r="H106" s="1065" t="s">
        <v>12</v>
      </c>
      <c r="I106" s="1066"/>
      <c r="J106" s="1067"/>
      <c r="K106" s="1065" t="s">
        <v>15</v>
      </c>
      <c r="L106" s="1066"/>
      <c r="M106" s="1108"/>
      <c r="N106" s="1065" t="s">
        <v>14</v>
      </c>
      <c r="O106" s="1067"/>
      <c r="P106" s="1065" t="s">
        <v>55</v>
      </c>
      <c r="Q106" s="1067"/>
      <c r="R106" s="1299" t="str">
        <f>R7</f>
        <v>на "09" января  2024 г</v>
      </c>
      <c r="S106" s="1138"/>
      <c r="T106" s="1138"/>
      <c r="U106" s="1138"/>
      <c r="V106" s="1138"/>
      <c r="W106" s="1138"/>
      <c r="X106" s="1061"/>
      <c r="Y106" s="1050" t="s">
        <v>190</v>
      </c>
      <c r="Z106" s="1156"/>
      <c r="AA106" s="1090" t="s">
        <v>23</v>
      </c>
      <c r="AB106" s="1091"/>
    </row>
    <row r="107" spans="1:28">
      <c r="A107" s="993" t="s">
        <v>44</v>
      </c>
      <c r="B107" s="1047" t="s">
        <v>46</v>
      </c>
      <c r="C107" s="1048"/>
      <c r="D107" s="1001"/>
      <c r="E107" s="1065" t="s">
        <v>39</v>
      </c>
      <c r="F107" s="1066"/>
      <c r="G107" s="1067"/>
      <c r="H107" s="1065" t="s">
        <v>49</v>
      </c>
      <c r="I107" s="1066"/>
      <c r="J107" s="1067"/>
      <c r="K107" s="1065" t="s">
        <v>59</v>
      </c>
      <c r="L107" s="1066"/>
      <c r="M107" s="1066"/>
      <c r="N107" s="1065" t="s">
        <v>40</v>
      </c>
      <c r="O107" s="1067"/>
      <c r="P107" s="1065" t="s">
        <v>56</v>
      </c>
      <c r="Q107" s="1067"/>
      <c r="R107" s="1300"/>
      <c r="S107" s="1138"/>
      <c r="T107" s="1138"/>
      <c r="U107" s="1138"/>
      <c r="V107" s="1138"/>
      <c r="W107" s="1138"/>
      <c r="X107" s="1061"/>
      <c r="AA107" s="54"/>
      <c r="AB107" s="55"/>
    </row>
    <row r="108" spans="1:28">
      <c r="A108" s="1002" t="s">
        <v>45</v>
      </c>
      <c r="B108" s="1065" t="s">
        <v>47</v>
      </c>
      <c r="C108" s="1108"/>
      <c r="D108" s="1013"/>
      <c r="E108" s="1065" t="s">
        <v>38</v>
      </c>
      <c r="F108" s="1066"/>
      <c r="G108" s="1067"/>
      <c r="H108" s="1065" t="s">
        <v>13</v>
      </c>
      <c r="I108" s="1066"/>
      <c r="J108" s="1067"/>
      <c r="K108" s="1065" t="s">
        <v>38</v>
      </c>
      <c r="L108" s="1066"/>
      <c r="M108" s="1066"/>
      <c r="N108" s="25"/>
      <c r="O108" s="3"/>
      <c r="P108" s="1065" t="s">
        <v>57</v>
      </c>
      <c r="Q108" s="1067"/>
      <c r="R108" s="3" t="s">
        <v>194</v>
      </c>
      <c r="S108" s="548"/>
      <c r="T108" s="548"/>
      <c r="U108" s="120"/>
      <c r="V108" s="120"/>
      <c r="W108" s="120"/>
      <c r="X108" s="120"/>
      <c r="Y108" s="120"/>
      <c r="Z108" s="746" t="s">
        <v>191</v>
      </c>
      <c r="AA108" s="120"/>
      <c r="AB108" s="700"/>
    </row>
    <row r="109" spans="1:28" ht="2.25" customHeight="1">
      <c r="A109" s="17"/>
      <c r="B109" s="1058" t="s">
        <v>48</v>
      </c>
      <c r="C109" s="1059"/>
      <c r="D109" s="1001"/>
      <c r="E109" s="1007"/>
      <c r="F109" s="3"/>
      <c r="G109" s="30"/>
      <c r="H109" s="3"/>
      <c r="I109" s="3"/>
      <c r="J109" s="30"/>
      <c r="K109" s="1058"/>
      <c r="L109" s="1059"/>
      <c r="M109" s="1059"/>
      <c r="N109" s="25"/>
      <c r="O109" s="3"/>
      <c r="P109" s="25"/>
      <c r="Q109" s="17"/>
      <c r="S109" s="709" t="s">
        <v>96</v>
      </c>
      <c r="W109" s="120"/>
      <c r="Z109" s="56"/>
      <c r="AA109" s="425"/>
      <c r="AB109" s="55"/>
    </row>
    <row r="110" spans="1:28" ht="13.5" thickBot="1">
      <c r="A110" s="58">
        <v>1</v>
      </c>
      <c r="B110" s="62"/>
      <c r="C110" s="63">
        <v>2</v>
      </c>
      <c r="D110" s="292"/>
      <c r="E110" s="994"/>
      <c r="F110" s="994">
        <v>3</v>
      </c>
      <c r="G110" s="995"/>
      <c r="H110" s="994"/>
      <c r="I110" s="994">
        <v>4</v>
      </c>
      <c r="J110" s="995"/>
      <c r="K110" s="994"/>
      <c r="L110" s="994"/>
      <c r="M110" s="994">
        <v>5</v>
      </c>
      <c r="N110" s="998"/>
      <c r="O110" s="994"/>
      <c r="P110" s="1104">
        <v>7</v>
      </c>
      <c r="Q110" s="1105"/>
      <c r="R110" s="1074" t="s">
        <v>307</v>
      </c>
      <c r="S110" s="1061"/>
      <c r="T110" s="1061"/>
      <c r="U110" s="1061"/>
      <c r="V110" s="1061"/>
      <c r="W110" s="1061"/>
      <c r="X110" s="1061"/>
      <c r="Y110" s="7"/>
      <c r="Z110" s="699" t="s">
        <v>199</v>
      </c>
      <c r="AA110" s="1025"/>
      <c r="AB110" s="57"/>
    </row>
    <row r="111" spans="1:28" ht="8.25" customHeight="1">
      <c r="A111" s="37"/>
      <c r="B111" s="38"/>
      <c r="C111" s="38"/>
      <c r="D111" s="38"/>
      <c r="E111" s="38"/>
      <c r="F111" s="38"/>
      <c r="G111" s="39"/>
      <c r="H111" s="38"/>
      <c r="I111" s="38"/>
      <c r="J111" s="39"/>
      <c r="K111" s="38"/>
      <c r="L111" s="38"/>
      <c r="M111" s="38"/>
      <c r="N111" s="40"/>
      <c r="O111" s="39"/>
      <c r="P111" s="41"/>
      <c r="Q111" s="42"/>
      <c r="R111" s="1061"/>
      <c r="S111" s="1061"/>
      <c r="T111" s="1061"/>
      <c r="U111" s="1061"/>
      <c r="V111" s="1061"/>
      <c r="W111" s="1061"/>
      <c r="X111" s="1061"/>
      <c r="Y111" s="217"/>
      <c r="Z111" s="741"/>
      <c r="AA111" s="32"/>
      <c r="AB111" s="56"/>
    </row>
    <row r="112" spans="1:28" ht="15.75">
      <c r="A112" s="780" t="s">
        <v>201</v>
      </c>
      <c r="B112" s="28"/>
      <c r="C112" s="28"/>
      <c r="D112" s="28"/>
      <c r="E112" s="28"/>
      <c r="F112" s="28"/>
      <c r="G112" s="218">
        <f>G13</f>
        <v>110</v>
      </c>
      <c r="H112" s="28"/>
      <c r="I112" s="140">
        <f>B124</f>
        <v>100</v>
      </c>
      <c r="J112" s="50"/>
      <c r="K112" s="1075">
        <f>G112*I112</f>
        <v>11000</v>
      </c>
      <c r="L112" s="1114"/>
      <c r="M112" s="1069"/>
      <c r="N112" s="1068">
        <f>AB194/B124</f>
        <v>100.387185</v>
      </c>
      <c r="O112" s="1069"/>
      <c r="P112" s="14"/>
      <c r="Q112" s="52"/>
      <c r="R112" s="3"/>
      <c r="S112" s="710" t="str">
        <f>S13</f>
        <v>"Детский сад № 31 г. Ельца"</v>
      </c>
      <c r="T112" s="2"/>
      <c r="U112" s="538"/>
      <c r="V112" s="7"/>
      <c r="W112" s="7"/>
      <c r="X112" s="7"/>
      <c r="Y112" s="7"/>
      <c r="Z112" s="610"/>
      <c r="AA112" s="1025"/>
      <c r="AB112" s="742"/>
    </row>
    <row r="113" spans="1:28" ht="8.25" customHeight="1" thickBot="1">
      <c r="A113" s="766"/>
      <c r="B113" s="48"/>
      <c r="C113" s="45"/>
      <c r="D113" s="45"/>
      <c r="E113" s="45"/>
      <c r="F113" s="45"/>
      <c r="G113" s="49"/>
      <c r="H113" s="45"/>
      <c r="I113" s="45"/>
      <c r="J113" s="49"/>
      <c r="K113" s="28"/>
      <c r="L113" s="28"/>
      <c r="M113" s="28"/>
      <c r="N113" s="51"/>
      <c r="O113" s="27"/>
      <c r="P113" s="14"/>
      <c r="Q113" s="52"/>
      <c r="R113" s="3"/>
      <c r="S113" s="3"/>
      <c r="T113" s="7"/>
      <c r="U113" s="7"/>
      <c r="AA113" s="54"/>
      <c r="AB113" s="56"/>
    </row>
    <row r="114" spans="1:28" ht="19.5" thickBot="1">
      <c r="A114" s="769"/>
      <c r="B114" s="38"/>
      <c r="C114" s="38"/>
      <c r="D114" s="38"/>
      <c r="E114" s="38"/>
      <c r="F114" s="38"/>
      <c r="G114" s="38"/>
      <c r="H114" s="38"/>
      <c r="I114" s="3" t="s">
        <v>33</v>
      </c>
      <c r="J114" s="42"/>
      <c r="K114" s="45"/>
      <c r="L114" s="45"/>
      <c r="M114" s="45"/>
      <c r="N114" s="1116">
        <f>N112*B124</f>
        <v>10038.718500000001</v>
      </c>
      <c r="O114" s="1226"/>
      <c r="P114" s="46"/>
      <c r="Q114" s="47"/>
      <c r="R114" s="3" t="s">
        <v>193</v>
      </c>
      <c r="S114" s="7"/>
      <c r="T114" s="7"/>
      <c r="U114" s="549"/>
      <c r="V114" s="711" t="str">
        <f>V15</f>
        <v>Глухова Г.В.</v>
      </c>
      <c r="AA114" s="66"/>
      <c r="AB114" s="67"/>
    </row>
    <row r="115" spans="1:28" ht="10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8"/>
      <c r="L115" s="38"/>
      <c r="M115" s="38"/>
      <c r="N115" s="38"/>
      <c r="O115" s="38"/>
      <c r="P115" s="41"/>
      <c r="Q115" s="38"/>
      <c r="R115" s="3"/>
      <c r="S115" s="3"/>
      <c r="T115" s="7"/>
      <c r="U115" s="7"/>
    </row>
    <row r="116" spans="1:28" ht="2.2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7"/>
      <c r="U116" s="7"/>
      <c r="V116" s="7"/>
      <c r="W116" s="7"/>
      <c r="X116" s="7"/>
      <c r="Y116" s="7"/>
      <c r="Z116" s="7"/>
      <c r="AA116" s="8"/>
      <c r="AB116" s="8"/>
    </row>
    <row r="117" spans="1:28">
      <c r="A117" s="26" t="s">
        <v>53</v>
      </c>
      <c r="B117" s="20"/>
      <c r="C117" s="65"/>
      <c r="D117" s="65"/>
      <c r="E117" s="14"/>
      <c r="F117" s="14"/>
      <c r="G117" s="14"/>
      <c r="H117" s="14"/>
      <c r="I117" s="14"/>
      <c r="J117" s="14"/>
      <c r="K117" s="14"/>
      <c r="L117" s="14"/>
      <c r="M117" s="14"/>
      <c r="N117" s="28" t="s">
        <v>41</v>
      </c>
      <c r="O117" s="14"/>
      <c r="P117" s="14"/>
      <c r="Q117" s="14"/>
      <c r="R117" s="14"/>
      <c r="S117" s="28"/>
      <c r="T117" s="28"/>
      <c r="U117" s="28"/>
      <c r="V117" s="14"/>
      <c r="W117" s="14"/>
      <c r="X117" s="14"/>
      <c r="Y117" s="14"/>
      <c r="Z117" s="14"/>
      <c r="AA117" s="1047" t="s">
        <v>8</v>
      </c>
      <c r="AB117" s="1048"/>
    </row>
    <row r="118" spans="1:28" ht="8.25" customHeight="1">
      <c r="A118" s="993"/>
      <c r="B118" s="19"/>
      <c r="C118" s="70" t="s">
        <v>52</v>
      </c>
      <c r="D118" s="992"/>
      <c r="E118" s="1052" t="s">
        <v>184</v>
      </c>
      <c r="F118" s="1084"/>
      <c r="G118" s="1084"/>
      <c r="H118" s="1084"/>
      <c r="I118" s="1084"/>
      <c r="J118" s="1084"/>
      <c r="K118" s="1084"/>
      <c r="L118" s="1015"/>
      <c r="M118" s="1052" t="s">
        <v>16</v>
      </c>
      <c r="N118" s="1052"/>
      <c r="O118" s="1052"/>
      <c r="P118" s="1052"/>
      <c r="Q118" s="1052"/>
      <c r="R118" s="1052"/>
      <c r="S118" s="1052"/>
      <c r="T118" s="1053"/>
      <c r="U118" s="994"/>
      <c r="V118" s="1139" t="s">
        <v>17</v>
      </c>
      <c r="W118" s="1052"/>
      <c r="X118" s="1052"/>
      <c r="Y118" s="1052"/>
      <c r="Z118" s="1087"/>
      <c r="AA118" s="1059" t="s">
        <v>3</v>
      </c>
      <c r="AB118" s="1059"/>
    </row>
    <row r="119" spans="1:28" ht="4.5" customHeight="1">
      <c r="A119" s="1002"/>
      <c r="B119" s="5"/>
      <c r="C119" s="70" t="s">
        <v>51</v>
      </c>
      <c r="D119" s="1001"/>
      <c r="E119" s="1054"/>
      <c r="F119" s="1054"/>
      <c r="G119" s="1054"/>
      <c r="H119" s="1054"/>
      <c r="I119" s="1054"/>
      <c r="J119" s="1054"/>
      <c r="K119" s="1054"/>
      <c r="L119" s="1016"/>
      <c r="M119" s="1054"/>
      <c r="N119" s="1054"/>
      <c r="O119" s="1054"/>
      <c r="P119" s="1054"/>
      <c r="Q119" s="1054"/>
      <c r="R119" s="1054"/>
      <c r="S119" s="1054"/>
      <c r="T119" s="1055"/>
      <c r="U119" s="996"/>
      <c r="V119" s="1140"/>
      <c r="W119" s="1054"/>
      <c r="X119" s="1054"/>
      <c r="Y119" s="1054"/>
      <c r="Z119" s="1086"/>
      <c r="AA119" s="1048" t="s">
        <v>36</v>
      </c>
      <c r="AB119" s="1048"/>
    </row>
    <row r="120" spans="1:28" ht="12.75" customHeight="1">
      <c r="A120" s="1002" t="s">
        <v>54</v>
      </c>
      <c r="B120" s="5"/>
      <c r="C120" s="70" t="s">
        <v>9</v>
      </c>
      <c r="D120" s="1041" t="s">
        <v>282</v>
      </c>
      <c r="E120" s="1233" t="s">
        <v>300</v>
      </c>
      <c r="F120" s="1078" t="s">
        <v>158</v>
      </c>
      <c r="G120" s="1123" t="s">
        <v>283</v>
      </c>
      <c r="H120" s="1107" t="s">
        <v>234</v>
      </c>
      <c r="I120" s="1157"/>
      <c r="J120" s="1003"/>
      <c r="K120" s="1020"/>
      <c r="L120" s="1012"/>
      <c r="M120" s="1070" t="s">
        <v>285</v>
      </c>
      <c r="N120" s="1012"/>
      <c r="O120" s="1070" t="s">
        <v>286</v>
      </c>
      <c r="P120" s="1107" t="s">
        <v>287</v>
      </c>
      <c r="Q120" s="1227" t="s">
        <v>293</v>
      </c>
      <c r="R120" s="1044" t="s">
        <v>301</v>
      </c>
      <c r="S120" s="1107" t="s">
        <v>189</v>
      </c>
      <c r="T120" s="1070" t="s">
        <v>68</v>
      </c>
      <c r="U120" s="1012"/>
      <c r="V120" s="1107"/>
      <c r="W120" s="1012"/>
      <c r="X120" s="1070" t="s">
        <v>289</v>
      </c>
      <c r="Y120" s="1070" t="s">
        <v>229</v>
      </c>
      <c r="Z120" s="1070"/>
      <c r="AA120" s="24"/>
      <c r="AB120" s="1019"/>
    </row>
    <row r="121" spans="1:28">
      <c r="A121" s="1002"/>
      <c r="B121" s="5"/>
      <c r="C121" s="70" t="s">
        <v>10</v>
      </c>
      <c r="D121" s="1042"/>
      <c r="E121" s="1234"/>
      <c r="F121" s="1079"/>
      <c r="G121" s="1124"/>
      <c r="H121" s="1160"/>
      <c r="I121" s="1158"/>
      <c r="J121" s="1004"/>
      <c r="K121" s="1021"/>
      <c r="L121" s="1022"/>
      <c r="M121" s="1071"/>
      <c r="N121" s="1022"/>
      <c r="O121" s="1071"/>
      <c r="P121" s="1160"/>
      <c r="Q121" s="1228"/>
      <c r="R121" s="1045"/>
      <c r="S121" s="1160"/>
      <c r="T121" s="1071"/>
      <c r="U121" s="1022"/>
      <c r="V121" s="1160"/>
      <c r="W121" s="1022"/>
      <c r="X121" s="1071"/>
      <c r="Y121" s="1071"/>
      <c r="Z121" s="1071"/>
      <c r="AA121" s="19" t="s">
        <v>6</v>
      </c>
      <c r="AB121" s="1001" t="s">
        <v>4</v>
      </c>
    </row>
    <row r="122" spans="1:28" ht="78.75" customHeight="1">
      <c r="A122" s="1006"/>
      <c r="B122" s="4"/>
      <c r="C122" s="71"/>
      <c r="D122" s="1043"/>
      <c r="E122" s="1235"/>
      <c r="F122" s="1080"/>
      <c r="G122" s="1125"/>
      <c r="H122" s="1161"/>
      <c r="I122" s="1159"/>
      <c r="J122" s="1005" t="s">
        <v>171</v>
      </c>
      <c r="K122" s="1004" t="s">
        <v>284</v>
      </c>
      <c r="L122" s="1023" t="s">
        <v>137</v>
      </c>
      <c r="M122" s="1072"/>
      <c r="N122" s="1023"/>
      <c r="O122" s="1072"/>
      <c r="P122" s="1161"/>
      <c r="Q122" s="1229"/>
      <c r="R122" s="1046"/>
      <c r="S122" s="1161"/>
      <c r="T122" s="1072"/>
      <c r="U122" s="1023"/>
      <c r="V122" s="1161"/>
      <c r="W122" s="1023"/>
      <c r="X122" s="1072"/>
      <c r="Y122" s="1072"/>
      <c r="Z122" s="1072"/>
      <c r="AA122" s="4" t="s">
        <v>7</v>
      </c>
      <c r="AB122" s="1000" t="s">
        <v>5</v>
      </c>
    </row>
    <row r="123" spans="1:28" ht="8.25" customHeight="1">
      <c r="A123" s="64">
        <v>1</v>
      </c>
      <c r="B123" s="1024">
        <v>2</v>
      </c>
      <c r="C123" s="72">
        <v>3</v>
      </c>
      <c r="D123" s="86"/>
      <c r="E123" s="80">
        <v>4</v>
      </c>
      <c r="F123" s="86">
        <v>5</v>
      </c>
      <c r="G123" s="1009">
        <v>6</v>
      </c>
      <c r="H123" s="87">
        <v>7</v>
      </c>
      <c r="I123" s="80">
        <v>8</v>
      </c>
      <c r="J123" s="82">
        <v>9</v>
      </c>
      <c r="K123" s="95">
        <v>10</v>
      </c>
      <c r="L123" s="96">
        <v>11</v>
      </c>
      <c r="M123" s="81">
        <v>12</v>
      </c>
      <c r="N123" s="82">
        <v>13</v>
      </c>
      <c r="O123" s="93">
        <v>14</v>
      </c>
      <c r="P123" s="97">
        <v>15</v>
      </c>
      <c r="Q123" s="93">
        <v>16</v>
      </c>
      <c r="R123" s="80"/>
      <c r="S123" s="96">
        <v>17</v>
      </c>
      <c r="T123" s="98">
        <v>18</v>
      </c>
      <c r="U123" s="96"/>
      <c r="V123" s="80">
        <v>19</v>
      </c>
      <c r="W123" s="80"/>
      <c r="X123" s="96">
        <v>20</v>
      </c>
      <c r="Y123" s="81">
        <v>21</v>
      </c>
      <c r="Z123" s="96">
        <v>22</v>
      </c>
      <c r="AA123" s="35">
        <v>30</v>
      </c>
      <c r="AB123" s="1008">
        <v>31</v>
      </c>
    </row>
    <row r="124" spans="1:28" ht="15.75">
      <c r="A124" s="16" t="s">
        <v>18</v>
      </c>
      <c r="B124" s="221">
        <v>100</v>
      </c>
      <c r="C124" s="73"/>
      <c r="D124" s="89">
        <f>F124</f>
        <v>100</v>
      </c>
      <c r="E124" s="99">
        <f>B124</f>
        <v>100</v>
      </c>
      <c r="F124" s="222">
        <v>100</v>
      </c>
      <c r="G124" s="99">
        <f>B124</f>
        <v>100</v>
      </c>
      <c r="H124" s="89">
        <f>F124</f>
        <v>100</v>
      </c>
      <c r="I124" s="99">
        <f>B124</f>
        <v>100</v>
      </c>
      <c r="J124" s="664">
        <f>B124</f>
        <v>100</v>
      </c>
      <c r="K124" s="99">
        <f>B124</f>
        <v>100</v>
      </c>
      <c r="L124" s="99">
        <f>B124</f>
        <v>100</v>
      </c>
      <c r="M124" s="99">
        <f>B124</f>
        <v>100</v>
      </c>
      <c r="N124" s="99">
        <f>B124</f>
        <v>100</v>
      </c>
      <c r="O124" s="99">
        <f>B124</f>
        <v>100</v>
      </c>
      <c r="P124" s="109">
        <f>F124</f>
        <v>100</v>
      </c>
      <c r="Q124" s="99">
        <f>B124</f>
        <v>100</v>
      </c>
      <c r="R124" s="99">
        <f>E124</f>
        <v>100</v>
      </c>
      <c r="S124" s="99">
        <f>B124</f>
        <v>100</v>
      </c>
      <c r="T124" s="99">
        <f>B124</f>
        <v>100</v>
      </c>
      <c r="U124" s="99"/>
      <c r="V124" s="99">
        <f>B124</f>
        <v>100</v>
      </c>
      <c r="W124" s="248">
        <f>F124</f>
        <v>100</v>
      </c>
      <c r="X124" s="99">
        <f>B124</f>
        <v>100</v>
      </c>
      <c r="Y124" s="99">
        <f>B124</f>
        <v>100</v>
      </c>
      <c r="Z124" s="99">
        <f>B124</f>
        <v>100</v>
      </c>
      <c r="AA124" s="12" t="s">
        <v>66</v>
      </c>
      <c r="AB124" s="68" t="s">
        <v>64</v>
      </c>
    </row>
    <row r="125" spans="1:28" ht="16.5" thickBot="1">
      <c r="A125" s="59" t="s">
        <v>19</v>
      </c>
      <c r="B125" s="60"/>
      <c r="C125" s="74"/>
      <c r="D125" s="91">
        <v>25</v>
      </c>
      <c r="E125" s="119">
        <f>D125*D124/B124</f>
        <v>25</v>
      </c>
      <c r="F125" s="91">
        <v>156</v>
      </c>
      <c r="G125" s="119">
        <f>F125*F124/B124</f>
        <v>156</v>
      </c>
      <c r="H125" s="91">
        <v>150</v>
      </c>
      <c r="I125" s="119">
        <f>H125*H124/B124</f>
        <v>150</v>
      </c>
      <c r="J125" s="643">
        <f>J171/B124*1000</f>
        <v>20</v>
      </c>
      <c r="K125" s="119">
        <f>K151/B124*1000</f>
        <v>100</v>
      </c>
      <c r="L125" s="119">
        <v>30</v>
      </c>
      <c r="M125" s="119">
        <v>180</v>
      </c>
      <c r="N125" s="138">
        <v>20</v>
      </c>
      <c r="O125" s="119">
        <f>O139/B124*1000</f>
        <v>10</v>
      </c>
      <c r="P125" s="111">
        <v>80</v>
      </c>
      <c r="Q125" s="119">
        <f>P125*P124/B124</f>
        <v>80</v>
      </c>
      <c r="R125" s="119">
        <v>110</v>
      </c>
      <c r="S125" s="100">
        <v>150</v>
      </c>
      <c r="T125" s="119">
        <f>T173/B124*1000</f>
        <v>30</v>
      </c>
      <c r="U125" s="119"/>
      <c r="V125" s="119">
        <v>100</v>
      </c>
      <c r="W125" s="249">
        <v>60</v>
      </c>
      <c r="X125" s="119">
        <v>60</v>
      </c>
      <c r="Y125" s="119">
        <f>Y135/B124/1.05*1000</f>
        <v>150.47619047619045</v>
      </c>
      <c r="Z125" s="119">
        <f>Z175/B124*1000</f>
        <v>0</v>
      </c>
      <c r="AA125" s="61"/>
      <c r="AB125" s="69"/>
    </row>
    <row r="126" spans="1:28" ht="15" customHeight="1" thickTop="1">
      <c r="A126" s="133"/>
      <c r="B126" s="5" t="s">
        <v>65</v>
      </c>
      <c r="C126" s="77" t="s">
        <v>72</v>
      </c>
      <c r="D126" s="287"/>
      <c r="E126" s="88"/>
      <c r="F126" s="92"/>
      <c r="G126" s="88"/>
      <c r="H126" s="107"/>
      <c r="I126" s="88"/>
      <c r="J126" s="608"/>
      <c r="K126" s="88"/>
      <c r="L126" s="88"/>
      <c r="M126" s="88"/>
      <c r="N126" s="264"/>
      <c r="O126" s="88"/>
      <c r="P126" s="108">
        <f>70.5/80*P125</f>
        <v>70.5</v>
      </c>
      <c r="Q126" s="129">
        <f>P126/P125*Q125</f>
        <v>70.5</v>
      </c>
      <c r="R126" s="129"/>
      <c r="S126" s="88"/>
      <c r="T126" s="88"/>
      <c r="U126" s="88"/>
      <c r="V126" s="88"/>
      <c r="W126" s="88"/>
      <c r="X126" s="88"/>
      <c r="Y126" s="88"/>
      <c r="Z126" s="88"/>
      <c r="AA126" s="78"/>
      <c r="AB126" s="79"/>
    </row>
    <row r="127" spans="1:28" ht="18" customHeight="1" thickBot="1">
      <c r="A127" s="346" t="str">
        <f>A28</f>
        <v>Мясо гов. мор.</v>
      </c>
      <c r="B127" s="347">
        <f>B28</f>
        <v>470.6</v>
      </c>
      <c r="C127" s="348" t="s">
        <v>73</v>
      </c>
      <c r="D127" s="385"/>
      <c r="E127" s="350"/>
      <c r="F127" s="363"/>
      <c r="G127" s="350"/>
      <c r="H127" s="349"/>
      <c r="I127" s="350"/>
      <c r="J127" s="569"/>
      <c r="K127" s="350"/>
      <c r="L127" s="350"/>
      <c r="M127" s="350"/>
      <c r="N127" s="360"/>
      <c r="O127" s="350"/>
      <c r="P127" s="349">
        <f>P126*P124/1000</f>
        <v>7.05</v>
      </c>
      <c r="Q127" s="341">
        <f>P127</f>
        <v>7.05</v>
      </c>
      <c r="R127" s="372"/>
      <c r="S127" s="350"/>
      <c r="T127" s="350"/>
      <c r="U127" s="350"/>
      <c r="V127" s="350"/>
      <c r="W127" s="350"/>
      <c r="X127" s="350"/>
      <c r="Y127" s="350"/>
      <c r="Z127" s="350"/>
      <c r="AA127" s="343">
        <f>ROUND(E127+G127+I127+K127+L127+M127+N127+O127+Q127+S127+T127+U127+V127+X127+Y127+Z127,2)</f>
        <v>7.05</v>
      </c>
      <c r="AB127" s="368">
        <f>AA127*B127</f>
        <v>3317.73</v>
      </c>
    </row>
    <row r="128" spans="1:28" ht="13.5" customHeight="1" thickTop="1">
      <c r="A128" s="133"/>
      <c r="B128" s="121"/>
      <c r="C128" s="77" t="s">
        <v>72</v>
      </c>
      <c r="D128" s="287"/>
      <c r="E128" s="88"/>
      <c r="F128" s="90"/>
      <c r="G128" s="88"/>
      <c r="H128" s="108"/>
      <c r="I128" s="88"/>
      <c r="J128" s="608"/>
      <c r="K128" s="88"/>
      <c r="L128" s="88"/>
      <c r="M128" s="129"/>
      <c r="N128" s="108"/>
      <c r="O128" s="129"/>
      <c r="P128" s="177"/>
      <c r="Q128" s="129"/>
      <c r="R128" s="129"/>
      <c r="S128" s="88"/>
      <c r="T128" s="88"/>
      <c r="U128" s="88"/>
      <c r="V128" s="88"/>
      <c r="W128" s="88"/>
      <c r="X128" s="88"/>
      <c r="Y128" s="88"/>
      <c r="Z128" s="88"/>
      <c r="AA128" s="213"/>
      <c r="AB128" s="123"/>
    </row>
    <row r="129" spans="1:28" ht="16.5" thickBot="1">
      <c r="A129" s="346">
        <f>A30</f>
        <v>0</v>
      </c>
      <c r="B129" s="347">
        <f>B30</f>
        <v>0</v>
      </c>
      <c r="C129" s="348" t="s">
        <v>73</v>
      </c>
      <c r="D129" s="385"/>
      <c r="E129" s="350"/>
      <c r="F129" s="363"/>
      <c r="G129" s="350"/>
      <c r="H129" s="349"/>
      <c r="I129" s="350"/>
      <c r="J129" s="569"/>
      <c r="K129" s="350"/>
      <c r="L129" s="350"/>
      <c r="M129" s="341"/>
      <c r="N129" s="349"/>
      <c r="O129" s="341"/>
      <c r="P129" s="349"/>
      <c r="Q129" s="350"/>
      <c r="R129" s="350"/>
      <c r="S129" s="350"/>
      <c r="T129" s="350"/>
      <c r="U129" s="350"/>
      <c r="V129" s="350"/>
      <c r="W129" s="341"/>
      <c r="X129" s="350"/>
      <c r="Y129" s="350"/>
      <c r="Z129" s="350"/>
      <c r="AA129" s="343">
        <f>ROUND(E129+G129+I129+K129+L129+M129+O129+Q129+S129+T129+U129+V129+X129+Y129+Z129,2)</f>
        <v>0</v>
      </c>
      <c r="AB129" s="344">
        <f>AA129*B129</f>
        <v>0</v>
      </c>
    </row>
    <row r="130" spans="1:28" ht="14.25" customHeight="1" thickTop="1">
      <c r="A130" s="133"/>
      <c r="B130" s="121"/>
      <c r="C130" s="77" t="s">
        <v>72</v>
      </c>
      <c r="D130" s="306">
        <v>5</v>
      </c>
      <c r="E130" s="129">
        <f>D130/D125*E125</f>
        <v>5</v>
      </c>
      <c r="F130" s="90">
        <v>3</v>
      </c>
      <c r="G130" s="129">
        <f>F130/F125*G125</f>
        <v>3</v>
      </c>
      <c r="H130" s="108"/>
      <c r="I130" s="88"/>
      <c r="J130" s="608"/>
      <c r="K130" s="88"/>
      <c r="L130" s="88"/>
      <c r="M130" s="88"/>
      <c r="N130" s="264"/>
      <c r="O130" s="131"/>
      <c r="P130" s="108">
        <f>0.8/80*P125</f>
        <v>0.8</v>
      </c>
      <c r="Q130" s="129">
        <f>P130/P125*Q125</f>
        <v>0.8</v>
      </c>
      <c r="R130" s="131">
        <v>2.2000000000000002</v>
      </c>
      <c r="S130" s="88"/>
      <c r="T130" s="88"/>
      <c r="U130" s="88"/>
      <c r="V130" s="131"/>
      <c r="W130" s="113"/>
      <c r="X130" s="131">
        <v>2.2000000000000002</v>
      </c>
      <c r="Y130" s="88"/>
      <c r="Z130" s="88"/>
      <c r="AA130" s="214"/>
      <c r="AB130" s="123"/>
    </row>
    <row r="131" spans="1:28" ht="16.5" thickBot="1">
      <c r="A131" s="346" t="str">
        <f>A32</f>
        <v>Масло слив.</v>
      </c>
      <c r="B131" s="347">
        <f>B32</f>
        <v>595</v>
      </c>
      <c r="C131" s="348" t="s">
        <v>73</v>
      </c>
      <c r="D131" s="501">
        <f>ROUND(D130*F124/1000,2)</f>
        <v>0.5</v>
      </c>
      <c r="E131" s="341">
        <f>D131</f>
        <v>0.5</v>
      </c>
      <c r="F131" s="363">
        <f>F130*F124/1000</f>
        <v>0.3</v>
      </c>
      <c r="G131" s="341">
        <f>ROUND(F131,2)</f>
        <v>0.3</v>
      </c>
      <c r="H131" s="349"/>
      <c r="I131" s="350"/>
      <c r="J131" s="569"/>
      <c r="K131" s="350"/>
      <c r="L131" s="350"/>
      <c r="M131" s="350"/>
      <c r="N131" s="361"/>
      <c r="O131" s="350"/>
      <c r="P131" s="349">
        <f>P130*P124/1000</f>
        <v>0.08</v>
      </c>
      <c r="Q131" s="341">
        <f>ROUND(P131,2)</f>
        <v>0.08</v>
      </c>
      <c r="R131" s="341">
        <f>ROUND(R130*B124/1000,2)</f>
        <v>0.22</v>
      </c>
      <c r="S131" s="350"/>
      <c r="T131" s="350"/>
      <c r="U131" s="350"/>
      <c r="V131" s="341">
        <f>ROUND(V130*F124/1000,2)</f>
        <v>0</v>
      </c>
      <c r="W131" s="378"/>
      <c r="X131" s="341">
        <f>ROUND(X130*B124/1000,2)</f>
        <v>0.22</v>
      </c>
      <c r="Y131" s="350"/>
      <c r="Z131" s="350"/>
      <c r="AA131" s="343">
        <f>ROUND(E131+G131+I131+K131+L131+M131+N131+O131+Q131+R131+S131+T131+U131+V131+X131+Y131+Z131,2)</f>
        <v>1.32</v>
      </c>
      <c r="AB131" s="344">
        <f>AA131*B131</f>
        <v>785.40000000000009</v>
      </c>
    </row>
    <row r="132" spans="1:28" ht="14.25" customHeight="1" thickTop="1">
      <c r="A132" s="133"/>
      <c r="B132" s="121"/>
      <c r="C132" s="77" t="s">
        <v>72</v>
      </c>
      <c r="D132" s="287"/>
      <c r="E132" s="88"/>
      <c r="F132" s="90"/>
      <c r="G132" s="88"/>
      <c r="H132" s="108"/>
      <c r="I132" s="88"/>
      <c r="J132" s="608"/>
      <c r="K132" s="88"/>
      <c r="L132" s="130">
        <v>1.8</v>
      </c>
      <c r="M132" s="130">
        <v>3.6</v>
      </c>
      <c r="N132" s="263"/>
      <c r="O132" s="131"/>
      <c r="P132" s="177"/>
      <c r="Q132" s="129"/>
      <c r="R132" s="114"/>
      <c r="S132" s="88"/>
      <c r="T132" s="88"/>
      <c r="U132" s="88"/>
      <c r="V132" s="88"/>
      <c r="W132" s="113"/>
      <c r="X132" s="130">
        <v>0.28000000000000003</v>
      </c>
      <c r="Y132" s="88"/>
      <c r="Z132" s="88"/>
      <c r="AA132" s="214"/>
      <c r="AB132" s="216"/>
    </row>
    <row r="133" spans="1:28" ht="16.5" thickBot="1">
      <c r="A133" s="346" t="str">
        <f>A34</f>
        <v>Масло раст.</v>
      </c>
      <c r="B133" s="347">
        <f>B34</f>
        <v>104.42</v>
      </c>
      <c r="C133" s="348" t="s">
        <v>73</v>
      </c>
      <c r="D133" s="385"/>
      <c r="E133" s="350"/>
      <c r="F133" s="363"/>
      <c r="G133" s="350"/>
      <c r="H133" s="349"/>
      <c r="I133" s="350"/>
      <c r="J133" s="569"/>
      <c r="K133" s="350"/>
      <c r="L133" s="339">
        <f>L132*B124/1000</f>
        <v>0.18</v>
      </c>
      <c r="M133" s="339">
        <f>M132*B124/1000</f>
        <v>0.36</v>
      </c>
      <c r="N133" s="360"/>
      <c r="O133" s="341"/>
      <c r="P133" s="349"/>
      <c r="Q133" s="350"/>
      <c r="R133" s="814"/>
      <c r="S133" s="350"/>
      <c r="T133" s="350"/>
      <c r="U133" s="350"/>
      <c r="V133" s="350"/>
      <c r="W133" s="378"/>
      <c r="X133" s="339">
        <f>X132*B124/1000</f>
        <v>2.8000000000000004E-2</v>
      </c>
      <c r="Y133" s="350"/>
      <c r="Z133" s="350"/>
      <c r="AA133" s="343">
        <f>ROUND(E133+G133+I133+K133+L133+M133+N133+O133+Q133+S133+T133+U133+V133+X133+Y133+Z133,2)</f>
        <v>0.56999999999999995</v>
      </c>
      <c r="AB133" s="344">
        <f>AA133*B133</f>
        <v>59.519399999999997</v>
      </c>
    </row>
    <row r="134" spans="1:28" ht="13.5" customHeight="1" thickTop="1">
      <c r="A134" s="133"/>
      <c r="B134" s="121"/>
      <c r="C134" s="77" t="s">
        <v>72</v>
      </c>
      <c r="D134" s="305"/>
      <c r="E134" s="88"/>
      <c r="F134" s="90">
        <v>135</v>
      </c>
      <c r="G134" s="113">
        <f>F134/F125*G125</f>
        <v>135</v>
      </c>
      <c r="H134" s="108"/>
      <c r="I134" s="113">
        <f>H134/H125*I125</f>
        <v>0</v>
      </c>
      <c r="J134" s="608"/>
      <c r="K134" s="114"/>
      <c r="L134" s="88"/>
      <c r="M134" s="88"/>
      <c r="N134" s="263"/>
      <c r="O134" s="88"/>
      <c r="P134" s="177"/>
      <c r="Q134" s="129"/>
      <c r="R134" s="114">
        <v>33</v>
      </c>
      <c r="S134" s="88"/>
      <c r="T134" s="88"/>
      <c r="U134" s="88"/>
      <c r="V134" s="131"/>
      <c r="W134" s="113"/>
      <c r="X134" s="130"/>
      <c r="Y134" s="114">
        <f>Y135/B124*1000</f>
        <v>158</v>
      </c>
      <c r="Z134" s="88"/>
      <c r="AA134" s="214"/>
      <c r="AB134" s="216"/>
    </row>
    <row r="135" spans="1:28" ht="16.5" thickBot="1">
      <c r="A135" s="346" t="str">
        <f>A36</f>
        <v>Молоко св.</v>
      </c>
      <c r="B135" s="347">
        <f>B36</f>
        <v>67.8</v>
      </c>
      <c r="C135" s="348" t="s">
        <v>73</v>
      </c>
      <c r="D135" s="385"/>
      <c r="E135" s="350"/>
      <c r="F135" s="384">
        <f>F134*F124/1000</f>
        <v>13.5</v>
      </c>
      <c r="G135" s="365">
        <f>F135</f>
        <v>13.5</v>
      </c>
      <c r="H135" s="349">
        <f>H134*H124/1000</f>
        <v>0</v>
      </c>
      <c r="I135" s="341">
        <f>H135</f>
        <v>0</v>
      </c>
      <c r="J135" s="569"/>
      <c r="K135" s="814"/>
      <c r="L135" s="350"/>
      <c r="M135" s="350"/>
      <c r="N135" s="360"/>
      <c r="O135" s="350"/>
      <c r="P135" s="349"/>
      <c r="Q135" s="350"/>
      <c r="R135" s="814">
        <f>R134*B124/1000</f>
        <v>3.3</v>
      </c>
      <c r="S135" s="350"/>
      <c r="T135" s="350"/>
      <c r="U135" s="350"/>
      <c r="V135" s="350"/>
      <c r="W135" s="378"/>
      <c r="X135" s="339"/>
      <c r="Y135" s="814">
        <v>15.8</v>
      </c>
      <c r="Z135" s="350"/>
      <c r="AA135" s="356">
        <f>ROUND(E135+G135+I135+K135+L135+M135+N135+O135+Q135+R135+S135+T135+U135+V135+X135+Y135+Z135,3)</f>
        <v>32.6</v>
      </c>
      <c r="AB135" s="344">
        <f>AA135*B135</f>
        <v>2210.2800000000002</v>
      </c>
    </row>
    <row r="136" spans="1:28" ht="14.25" customHeight="1" thickTop="1">
      <c r="A136" s="133"/>
      <c r="B136" s="121"/>
      <c r="C136" s="77" t="s">
        <v>72</v>
      </c>
      <c r="D136" s="287"/>
      <c r="E136" s="88"/>
      <c r="F136" s="90"/>
      <c r="G136" s="113"/>
      <c r="H136" s="108"/>
      <c r="I136" s="88"/>
      <c r="J136" s="608"/>
      <c r="K136" s="88"/>
      <c r="L136" s="88"/>
      <c r="M136" s="130">
        <v>3.6</v>
      </c>
      <c r="N136" s="263"/>
      <c r="O136" s="129"/>
      <c r="P136" s="430"/>
      <c r="Q136" s="129"/>
      <c r="R136" s="129"/>
      <c r="S136" s="88"/>
      <c r="T136" s="88"/>
      <c r="U136" s="88"/>
      <c r="V136" s="113"/>
      <c r="W136" s="113"/>
      <c r="X136" s="113"/>
      <c r="Y136" s="88"/>
      <c r="Z136" s="88"/>
      <c r="AA136" s="214"/>
      <c r="AB136" s="216"/>
    </row>
    <row r="137" spans="1:28" ht="16.5" customHeight="1" thickBot="1">
      <c r="A137" s="346" t="str">
        <f>A38</f>
        <v>Крупа перл.</v>
      </c>
      <c r="B137" s="347">
        <f>B38</f>
        <v>30.11</v>
      </c>
      <c r="C137" s="348" t="s">
        <v>73</v>
      </c>
      <c r="D137" s="385"/>
      <c r="E137" s="350"/>
      <c r="F137" s="363"/>
      <c r="G137" s="350"/>
      <c r="H137" s="349"/>
      <c r="I137" s="350"/>
      <c r="J137" s="569"/>
      <c r="K137" s="350"/>
      <c r="L137" s="350"/>
      <c r="M137" s="339">
        <f>M136*B124/1000</f>
        <v>0.36</v>
      </c>
      <c r="N137" s="360"/>
      <c r="O137" s="341"/>
      <c r="P137" s="363"/>
      <c r="Q137" s="404"/>
      <c r="R137" s="404"/>
      <c r="S137" s="350"/>
      <c r="T137" s="350"/>
      <c r="U137" s="350"/>
      <c r="V137" s="341"/>
      <c r="W137" s="378"/>
      <c r="X137" s="341"/>
      <c r="Y137" s="350"/>
      <c r="Z137" s="350"/>
      <c r="AA137" s="343">
        <f>ROUND(E137+G137+I137+K137+L137+M137+N137+O137+Q137+S137+T137+U137+V137+X137+Y137+Z137,2)</f>
        <v>0.36</v>
      </c>
      <c r="AB137" s="344">
        <f>AA137*B137</f>
        <v>10.839599999999999</v>
      </c>
    </row>
    <row r="138" spans="1:28" ht="14.25" customHeight="1" thickTop="1">
      <c r="A138" s="133"/>
      <c r="B138" s="121"/>
      <c r="C138" s="77" t="s">
        <v>72</v>
      </c>
      <c r="D138" s="287"/>
      <c r="E138" s="88"/>
      <c r="F138" s="90"/>
      <c r="G138" s="113"/>
      <c r="H138" s="108"/>
      <c r="I138" s="88"/>
      <c r="J138" s="608"/>
      <c r="K138" s="88"/>
      <c r="L138" s="88"/>
      <c r="M138" s="88"/>
      <c r="N138" s="263"/>
      <c r="O138" s="88">
        <f>O139/B124*1000</f>
        <v>10</v>
      </c>
      <c r="P138" s="108">
        <f>9/80*P125</f>
        <v>9</v>
      </c>
      <c r="Q138" s="129">
        <f>P138/P125*Q125</f>
        <v>9</v>
      </c>
      <c r="R138" s="129"/>
      <c r="S138" s="88"/>
      <c r="T138" s="88"/>
      <c r="U138" s="88"/>
      <c r="V138" s="88"/>
      <c r="W138" s="113"/>
      <c r="X138" s="129"/>
      <c r="Y138" s="88"/>
      <c r="Z138" s="88"/>
      <c r="AA138" s="214"/>
      <c r="AB138" s="216"/>
    </row>
    <row r="139" spans="1:28" ht="16.5" thickBot="1">
      <c r="A139" s="346" t="str">
        <f>A40</f>
        <v>Сметана</v>
      </c>
      <c r="B139" s="347">
        <f>B40</f>
        <v>227</v>
      </c>
      <c r="C139" s="348" t="s">
        <v>73</v>
      </c>
      <c r="D139" s="385"/>
      <c r="E139" s="350"/>
      <c r="F139" s="363"/>
      <c r="G139" s="350"/>
      <c r="H139" s="349"/>
      <c r="I139" s="350"/>
      <c r="J139" s="569"/>
      <c r="K139" s="350"/>
      <c r="L139" s="350"/>
      <c r="M139" s="350"/>
      <c r="N139" s="360"/>
      <c r="O139" s="341">
        <v>1</v>
      </c>
      <c r="P139" s="363">
        <f>P138*P124/1000</f>
        <v>0.9</v>
      </c>
      <c r="Q139" s="341">
        <f>P139</f>
        <v>0.9</v>
      </c>
      <c r="R139" s="350"/>
      <c r="S139" s="350"/>
      <c r="T139" s="350"/>
      <c r="U139" s="350"/>
      <c r="V139" s="350"/>
      <c r="W139" s="378"/>
      <c r="X139" s="350"/>
      <c r="Y139" s="350"/>
      <c r="Z139" s="350"/>
      <c r="AA139" s="343">
        <f>ROUND(E139+G139+I139+K139+L139+M139+N139+O139+Q139+S139+T139+U139+V139+X139+Y139+Z139,2)</f>
        <v>1.9</v>
      </c>
      <c r="AB139" s="344">
        <f>AA139*B139</f>
        <v>431.29999999999995</v>
      </c>
    </row>
    <row r="140" spans="1:28" ht="14.25" customHeight="1" thickTop="1">
      <c r="A140" s="133"/>
      <c r="B140" s="121"/>
      <c r="C140" s="77" t="s">
        <v>72</v>
      </c>
      <c r="D140" s="287"/>
      <c r="E140" s="88"/>
      <c r="F140" s="90"/>
      <c r="G140" s="113"/>
      <c r="H140" s="108"/>
      <c r="I140" s="88"/>
      <c r="J140" s="608"/>
      <c r="K140" s="88"/>
      <c r="L140" s="88"/>
      <c r="M140" s="88"/>
      <c r="N140" s="263"/>
      <c r="O140" s="131"/>
      <c r="P140" s="108">
        <f>2.7/80*P125</f>
        <v>2.7</v>
      </c>
      <c r="Q140" s="129">
        <f>P140/P125*Q125</f>
        <v>2.7</v>
      </c>
      <c r="R140" s="131">
        <v>1.1000000000000001</v>
      </c>
      <c r="S140" s="88"/>
      <c r="T140" s="88"/>
      <c r="U140" s="88"/>
      <c r="V140" s="88"/>
      <c r="W140" s="113"/>
      <c r="X140" s="130">
        <v>41.9</v>
      </c>
      <c r="Y140" s="88"/>
      <c r="Z140" s="88"/>
      <c r="AA140" s="214"/>
      <c r="AB140" s="123"/>
    </row>
    <row r="141" spans="1:28" ht="16.5" thickBot="1">
      <c r="A141" s="346" t="str">
        <f>A42</f>
        <v>Мука пшен.</v>
      </c>
      <c r="B141" s="347">
        <f>B42</f>
        <v>29.08</v>
      </c>
      <c r="C141" s="348" t="s">
        <v>73</v>
      </c>
      <c r="D141" s="385"/>
      <c r="E141" s="350"/>
      <c r="F141" s="363"/>
      <c r="G141" s="350"/>
      <c r="H141" s="349"/>
      <c r="I141" s="350"/>
      <c r="J141" s="569"/>
      <c r="K141" s="350"/>
      <c r="L141" s="350"/>
      <c r="M141" s="350"/>
      <c r="N141" s="360"/>
      <c r="O141" s="341"/>
      <c r="P141" s="363">
        <f>P140*P124/1000</f>
        <v>0.27</v>
      </c>
      <c r="Q141" s="341">
        <f>P141</f>
        <v>0.27</v>
      </c>
      <c r="R141" s="341">
        <f>R140*B124/1000</f>
        <v>0.11000000000000001</v>
      </c>
      <c r="S141" s="350"/>
      <c r="T141" s="350"/>
      <c r="U141" s="350"/>
      <c r="V141" s="350"/>
      <c r="W141" s="378"/>
      <c r="X141" s="339">
        <f>X140*B124/1000</f>
        <v>4.1900000000000004</v>
      </c>
      <c r="Y141" s="350"/>
      <c r="Z141" s="350"/>
      <c r="AA141" s="343">
        <f>ROUND(E141+G141+I141+K141+L141+M141+N141+O141+Q141+S141+T141+U141+V141+X141+Y141+Z141,2)</f>
        <v>4.46</v>
      </c>
      <c r="AB141" s="344">
        <f>AA141*B141</f>
        <v>129.6968</v>
      </c>
    </row>
    <row r="142" spans="1:28" ht="14.25" customHeight="1" thickTop="1">
      <c r="A142" s="133"/>
      <c r="B142" s="121"/>
      <c r="C142" s="77" t="s">
        <v>72</v>
      </c>
      <c r="D142" s="497"/>
      <c r="E142" s="129"/>
      <c r="F142" s="90"/>
      <c r="G142" s="129"/>
      <c r="H142" s="108"/>
      <c r="I142" s="88"/>
      <c r="J142" s="608"/>
      <c r="K142" s="88"/>
      <c r="L142" s="88"/>
      <c r="M142" s="88"/>
      <c r="N142" s="113"/>
      <c r="O142" s="129"/>
      <c r="P142" s="108"/>
      <c r="Q142" s="129"/>
      <c r="R142" s="129"/>
      <c r="S142" s="88"/>
      <c r="T142" s="88"/>
      <c r="U142" s="88"/>
      <c r="V142" s="88"/>
      <c r="W142" s="113"/>
      <c r="X142" s="129">
        <v>3.9</v>
      </c>
      <c r="Y142" s="88"/>
      <c r="Z142" s="88"/>
      <c r="AA142" s="214"/>
      <c r="AB142" s="216"/>
    </row>
    <row r="143" spans="1:28" ht="16.5" thickBot="1">
      <c r="A143" s="346" t="str">
        <f>A44</f>
        <v>Яйцо диет.</v>
      </c>
      <c r="B143" s="347">
        <f>B44</f>
        <v>10</v>
      </c>
      <c r="C143" s="348" t="s">
        <v>74</v>
      </c>
      <c r="D143" s="363"/>
      <c r="E143" s="341"/>
      <c r="F143" s="363"/>
      <c r="G143" s="350"/>
      <c r="H143" s="349"/>
      <c r="I143" s="350"/>
      <c r="J143" s="569"/>
      <c r="K143" s="350"/>
      <c r="L143" s="350"/>
      <c r="M143" s="350"/>
      <c r="N143" s="530"/>
      <c r="O143" s="470"/>
      <c r="P143" s="349"/>
      <c r="Q143" s="350"/>
      <c r="R143" s="350"/>
      <c r="S143" s="350"/>
      <c r="T143" s="350"/>
      <c r="U143" s="350"/>
      <c r="V143" s="350"/>
      <c r="W143" s="530"/>
      <c r="X143" s="470">
        <f>ROUND(X142*B124/48,0)</f>
        <v>8</v>
      </c>
      <c r="Y143" s="350"/>
      <c r="Z143" s="350"/>
      <c r="AA143" s="472">
        <f>ROUND(E143+G143+I143+K143+L143+M143+O143+Q143+S143+T143+U143+V143+X143+Y143+Z143,0)</f>
        <v>8</v>
      </c>
      <c r="AB143" s="344">
        <f>AA143*B143</f>
        <v>80</v>
      </c>
    </row>
    <row r="144" spans="1:28" ht="14.25" customHeight="1" thickTop="1">
      <c r="A144" s="133"/>
      <c r="B144" s="121"/>
      <c r="C144" s="77" t="s">
        <v>72</v>
      </c>
      <c r="D144" s="287"/>
      <c r="E144" s="88"/>
      <c r="F144" s="90">
        <v>23.1</v>
      </c>
      <c r="G144" s="129">
        <f>F144/F125*G125</f>
        <v>23.1</v>
      </c>
      <c r="H144" s="108"/>
      <c r="I144" s="88"/>
      <c r="J144" s="608"/>
      <c r="K144" s="88"/>
      <c r="L144" s="88"/>
      <c r="M144" s="88"/>
      <c r="N144" s="263"/>
      <c r="O144" s="88"/>
      <c r="P144" s="10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214"/>
      <c r="AB144" s="123"/>
    </row>
    <row r="145" spans="1:28" ht="16.5" thickBot="1">
      <c r="A145" s="346" t="str">
        <f>A46</f>
        <v>Манная кр.</v>
      </c>
      <c r="B145" s="347">
        <f>B46</f>
        <v>37.53</v>
      </c>
      <c r="C145" s="348" t="s">
        <v>73</v>
      </c>
      <c r="D145" s="385"/>
      <c r="E145" s="350"/>
      <c r="F145" s="363">
        <f>F144*F124/1000</f>
        <v>2.31</v>
      </c>
      <c r="G145" s="341">
        <f>F145</f>
        <v>2.31</v>
      </c>
      <c r="H145" s="349"/>
      <c r="I145" s="350"/>
      <c r="J145" s="569"/>
      <c r="K145" s="350"/>
      <c r="L145" s="350"/>
      <c r="M145" s="350"/>
      <c r="N145" s="360"/>
      <c r="O145" s="350"/>
      <c r="P145" s="349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43">
        <f>ROUND(E145+G145+I145+K145+L145+M145+N145+O145+Q145+S145+T145+U145+V145+X145+Y145+Z145,2)</f>
        <v>2.31</v>
      </c>
      <c r="AB145" s="344">
        <f>AA145*B145</f>
        <v>86.694299999999998</v>
      </c>
    </row>
    <row r="146" spans="1:28" ht="14.25" customHeight="1" thickTop="1">
      <c r="A146" s="133"/>
      <c r="B146" s="121"/>
      <c r="C146" s="77" t="s">
        <v>72</v>
      </c>
      <c r="D146" s="287"/>
      <c r="E146" s="88"/>
      <c r="F146" s="90">
        <v>3</v>
      </c>
      <c r="G146" s="113">
        <f>F146/F125*G125</f>
        <v>3</v>
      </c>
      <c r="H146" s="108">
        <v>6</v>
      </c>
      <c r="I146" s="113">
        <f>H146/H125*I125</f>
        <v>6</v>
      </c>
      <c r="J146" s="608"/>
      <c r="K146" s="88"/>
      <c r="L146" s="130"/>
      <c r="M146" s="88"/>
      <c r="N146" s="264"/>
      <c r="O146" s="131"/>
      <c r="P146" s="108"/>
      <c r="Q146" s="88"/>
      <c r="R146" s="88"/>
      <c r="S146" s="131">
        <v>8</v>
      </c>
      <c r="T146" s="88"/>
      <c r="U146" s="88"/>
      <c r="V146" s="131"/>
      <c r="W146" s="131"/>
      <c r="X146" s="130">
        <v>2.2000000000000002</v>
      </c>
      <c r="Y146" s="131"/>
      <c r="Z146" s="88"/>
      <c r="AA146" s="214"/>
      <c r="AB146" s="216"/>
    </row>
    <row r="147" spans="1:28" ht="16.5" thickBot="1">
      <c r="A147" s="346" t="str">
        <f>A48</f>
        <v>Сахар</v>
      </c>
      <c r="B147" s="347">
        <f>B48</f>
        <v>62.77</v>
      </c>
      <c r="C147" s="348" t="s">
        <v>73</v>
      </c>
      <c r="D147" s="385"/>
      <c r="E147" s="350"/>
      <c r="F147" s="363">
        <f>F146*F124/1000</f>
        <v>0.3</v>
      </c>
      <c r="G147" s="341">
        <f>F147</f>
        <v>0.3</v>
      </c>
      <c r="H147" s="349">
        <f>H146*H124/1000</f>
        <v>0.6</v>
      </c>
      <c r="I147" s="341">
        <f>ROUND(H147,2)</f>
        <v>0.6</v>
      </c>
      <c r="J147" s="569"/>
      <c r="K147" s="350"/>
      <c r="L147" s="339">
        <f>L146*B124/1000</f>
        <v>0</v>
      </c>
      <c r="M147" s="350"/>
      <c r="N147" s="360"/>
      <c r="O147" s="341"/>
      <c r="P147" s="349"/>
      <c r="Q147" s="350"/>
      <c r="R147" s="350"/>
      <c r="S147" s="341">
        <f>ROUND(S146*B124/1000,2)</f>
        <v>0.8</v>
      </c>
      <c r="T147" s="350"/>
      <c r="U147" s="350"/>
      <c r="V147" s="341">
        <f>V146*B124/1000</f>
        <v>0</v>
      </c>
      <c r="W147" s="341"/>
      <c r="X147" s="339">
        <f>X146*B124/1000</f>
        <v>0.22000000000000003</v>
      </c>
      <c r="Y147" s="341">
        <f>ROUND(Y146*B124/1000,2)</f>
        <v>0</v>
      </c>
      <c r="Z147" s="350"/>
      <c r="AA147" s="343">
        <f>ROUND(E147+G147+I147+K147+L147+M147+N147+O147+Q147+S147+T147+U147+V147+X147+Y147+Z147,2)</f>
        <v>1.92</v>
      </c>
      <c r="AB147" s="344">
        <f>AA147*B147</f>
        <v>120.5184</v>
      </c>
    </row>
    <row r="148" spans="1:28" ht="15" customHeight="1" thickTop="1">
      <c r="A148" s="133"/>
      <c r="B148" s="121"/>
      <c r="C148" s="77" t="s">
        <v>72</v>
      </c>
      <c r="D148" s="287"/>
      <c r="E148" s="88"/>
      <c r="F148" s="90"/>
      <c r="G148" s="88"/>
      <c r="H148" s="108"/>
      <c r="I148" s="88"/>
      <c r="J148" s="608"/>
      <c r="K148" s="88"/>
      <c r="L148" s="88"/>
      <c r="M148" s="88"/>
      <c r="N148" s="263"/>
      <c r="O148" s="88"/>
      <c r="P148" s="108"/>
      <c r="Q148" s="88"/>
      <c r="R148" s="88"/>
      <c r="S148" s="131">
        <v>10</v>
      </c>
      <c r="T148" s="88"/>
      <c r="U148" s="88"/>
      <c r="V148" s="88"/>
      <c r="W148" s="88"/>
      <c r="X148" s="88"/>
      <c r="Y148" s="88"/>
      <c r="Z148" s="88"/>
      <c r="AA148" s="214"/>
      <c r="AB148" s="123"/>
    </row>
    <row r="149" spans="1:28" ht="16.5" thickBot="1">
      <c r="A149" s="346" t="str">
        <f>A50</f>
        <v>Сухофрукты</v>
      </c>
      <c r="B149" s="347">
        <f>B50</f>
        <v>170</v>
      </c>
      <c r="C149" s="348" t="s">
        <v>73</v>
      </c>
      <c r="D149" s="385"/>
      <c r="E149" s="350"/>
      <c r="F149" s="363"/>
      <c r="G149" s="350"/>
      <c r="H149" s="349"/>
      <c r="I149" s="350"/>
      <c r="J149" s="569"/>
      <c r="K149" s="350"/>
      <c r="L149" s="350"/>
      <c r="M149" s="350"/>
      <c r="N149" s="360"/>
      <c r="O149" s="350"/>
      <c r="P149" s="349"/>
      <c r="Q149" s="350"/>
      <c r="R149" s="350"/>
      <c r="S149" s="341">
        <f>S148*B124/1000</f>
        <v>1</v>
      </c>
      <c r="T149" s="350"/>
      <c r="U149" s="350"/>
      <c r="V149" s="350"/>
      <c r="W149" s="350"/>
      <c r="X149" s="350"/>
      <c r="Y149" s="350"/>
      <c r="Z149" s="350"/>
      <c r="AA149" s="343">
        <f>ROUND(E149+G149+I149+K149+L149+M149+N149+O149+Q149+S149+T149+U149+V149+X149+Y149+Z149,2)</f>
        <v>1</v>
      </c>
      <c r="AB149" s="344">
        <f>AA149*B149</f>
        <v>170</v>
      </c>
    </row>
    <row r="150" spans="1:28" ht="15.75" thickTop="1">
      <c r="A150" s="133"/>
      <c r="B150" s="102"/>
      <c r="C150" s="77" t="s">
        <v>72</v>
      </c>
      <c r="D150" s="287"/>
      <c r="E150" s="104"/>
      <c r="F150" s="103"/>
      <c r="G150" s="113"/>
      <c r="H150" s="108"/>
      <c r="I150" s="104"/>
      <c r="J150" s="608"/>
      <c r="K150" s="104">
        <f>K151/B124*1000</f>
        <v>100</v>
      </c>
      <c r="L150" s="184"/>
      <c r="M150" s="104"/>
      <c r="N150" s="265"/>
      <c r="O150" s="104"/>
      <c r="P150" s="108"/>
      <c r="Q150" s="104"/>
      <c r="R150" s="104"/>
      <c r="S150" s="104"/>
      <c r="T150" s="104"/>
      <c r="U150" s="104"/>
      <c r="V150" s="184"/>
      <c r="W150" s="104"/>
      <c r="X150" s="104"/>
      <c r="Y150" s="104"/>
      <c r="Z150" s="104"/>
      <c r="AA150" s="213"/>
      <c r="AB150" s="123"/>
    </row>
    <row r="151" spans="1:28" ht="16.5" thickBot="1">
      <c r="A151" s="346" t="str">
        <f>A52</f>
        <v>Фрукт?</v>
      </c>
      <c r="B151" s="347">
        <f>B52</f>
        <v>100</v>
      </c>
      <c r="C151" s="348" t="s">
        <v>73</v>
      </c>
      <c r="D151" s="385"/>
      <c r="E151" s="350"/>
      <c r="F151" s="363"/>
      <c r="G151" s="350"/>
      <c r="H151" s="349"/>
      <c r="I151" s="350"/>
      <c r="J151" s="569"/>
      <c r="K151" s="341">
        <v>10</v>
      </c>
      <c r="L151" s="341"/>
      <c r="M151" s="350"/>
      <c r="N151" s="360"/>
      <c r="O151" s="350"/>
      <c r="P151" s="349"/>
      <c r="Q151" s="350"/>
      <c r="R151" s="350"/>
      <c r="S151" s="350"/>
      <c r="T151" s="350"/>
      <c r="U151" s="350"/>
      <c r="V151" s="341"/>
      <c r="W151" s="350"/>
      <c r="X151" s="350"/>
      <c r="Y151" s="350"/>
      <c r="Z151" s="350"/>
      <c r="AA151" s="343">
        <f>ROUND(E151+G151+I151+K151+L151+M151+N151+O151+Q151+S151+T151+V151+X151+Y151+Z151,2)</f>
        <v>10</v>
      </c>
      <c r="AB151" s="344">
        <f>AA151*B151</f>
        <v>1000</v>
      </c>
    </row>
    <row r="152" spans="1:28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18" t="s">
        <v>71</v>
      </c>
    </row>
    <row r="153" spans="1:28">
      <c r="A153" s="26" t="s">
        <v>53</v>
      </c>
      <c r="B153" s="20"/>
      <c r="C153" s="65"/>
      <c r="D153" s="65"/>
      <c r="E153" s="14"/>
      <c r="F153" s="14"/>
      <c r="G153" s="14"/>
      <c r="H153" s="14"/>
      <c r="I153" s="14"/>
      <c r="J153" s="14"/>
      <c r="K153" s="14"/>
      <c r="L153" s="14"/>
      <c r="M153" s="14"/>
      <c r="N153" s="28" t="s">
        <v>41</v>
      </c>
      <c r="O153" s="14"/>
      <c r="P153" s="14"/>
      <c r="Q153" s="14"/>
      <c r="R153" s="14"/>
      <c r="S153" s="28" t="s">
        <v>11</v>
      </c>
      <c r="T153" s="28"/>
      <c r="U153" s="28"/>
      <c r="V153" s="14"/>
      <c r="W153" s="14"/>
      <c r="X153" s="14"/>
      <c r="Y153" s="14"/>
      <c r="Z153" s="22"/>
      <c r="AA153" s="1047" t="s">
        <v>8</v>
      </c>
      <c r="AB153" s="1048"/>
    </row>
    <row r="154" spans="1:28" ht="12.75" customHeight="1">
      <c r="A154" s="993"/>
      <c r="B154" s="19"/>
      <c r="C154" s="5" t="s">
        <v>52</v>
      </c>
      <c r="D154" s="991"/>
      <c r="E154" s="1052"/>
      <c r="F154" s="1052"/>
      <c r="G154" s="1052"/>
      <c r="H154" s="1052"/>
      <c r="I154" s="1052"/>
      <c r="J154" s="1052"/>
      <c r="K154" s="1053"/>
      <c r="L154" s="994" t="s">
        <v>69</v>
      </c>
      <c r="M154" s="1056" t="s">
        <v>16</v>
      </c>
      <c r="N154" s="1052"/>
      <c r="O154" s="1052"/>
      <c r="P154" s="1052"/>
      <c r="Q154" s="1052"/>
      <c r="R154" s="1052"/>
      <c r="S154" s="1052"/>
      <c r="T154" s="1053"/>
      <c r="U154" s="994"/>
      <c r="V154" s="1056" t="s">
        <v>17</v>
      </c>
      <c r="W154" s="1052"/>
      <c r="X154" s="1052"/>
      <c r="Y154" s="1052"/>
      <c r="Z154" s="1052"/>
      <c r="AA154" s="1058" t="s">
        <v>3</v>
      </c>
      <c r="AB154" s="1059"/>
    </row>
    <row r="155" spans="1:28">
      <c r="A155" s="1002"/>
      <c r="B155" s="5"/>
      <c r="C155" s="5" t="s">
        <v>51</v>
      </c>
      <c r="D155" s="999"/>
      <c r="E155" s="1054"/>
      <c r="F155" s="1054"/>
      <c r="G155" s="1054"/>
      <c r="H155" s="1054"/>
      <c r="I155" s="1054"/>
      <c r="J155" s="1054"/>
      <c r="K155" s="1055"/>
      <c r="L155" s="996"/>
      <c r="M155" s="1057"/>
      <c r="N155" s="1054"/>
      <c r="O155" s="1054"/>
      <c r="P155" s="1054"/>
      <c r="Q155" s="1054"/>
      <c r="R155" s="1054"/>
      <c r="S155" s="1054"/>
      <c r="T155" s="1055"/>
      <c r="U155" s="996"/>
      <c r="V155" s="1057"/>
      <c r="W155" s="1054"/>
      <c r="X155" s="1054"/>
      <c r="Y155" s="1054"/>
      <c r="Z155" s="1054"/>
      <c r="AA155" s="1047" t="s">
        <v>36</v>
      </c>
      <c r="AB155" s="1048"/>
    </row>
    <row r="156" spans="1:28" ht="12.75" customHeight="1">
      <c r="A156" s="1002" t="s">
        <v>54</v>
      </c>
      <c r="B156" s="5" t="s">
        <v>65</v>
      </c>
      <c r="C156" s="5" t="s">
        <v>9</v>
      </c>
      <c r="D156" s="1236" t="str">
        <f>D120</f>
        <v>Бутерб. с маслом</v>
      </c>
      <c r="E156" s="1038" t="str">
        <f>E120</f>
        <v xml:space="preserve"> 5 \ 20</v>
      </c>
      <c r="F156" s="1041" t="str">
        <f>F120</f>
        <v>Каша манн. мол.</v>
      </c>
      <c r="G156" s="1038"/>
      <c r="H156" s="1041" t="str">
        <f>H120</f>
        <v>Чай с сахаром</v>
      </c>
      <c r="I156" s="1038"/>
      <c r="J156" s="1070" t="str">
        <f>J122</f>
        <v>Батон витаминиз.</v>
      </c>
      <c r="K156" s="1070" t="str">
        <f>K122</f>
        <v>Фрукт порц.</v>
      </c>
      <c r="L156" s="1070" t="str">
        <f>L122</f>
        <v>Салат из свеклы</v>
      </c>
      <c r="M156" s="1041" t="str">
        <f>M120</f>
        <v>Рассольник лен.</v>
      </c>
      <c r="N156" s="1041">
        <f>N120</f>
        <v>0</v>
      </c>
      <c r="O156" s="1038" t="str">
        <f>O120</f>
        <v>Сметана в суп</v>
      </c>
      <c r="P156" s="1041" t="str">
        <f>P120</f>
        <v>Бефстроганов</v>
      </c>
      <c r="Q156" s="1038"/>
      <c r="R156" s="1044">
        <f>R122</f>
        <v>0</v>
      </c>
      <c r="S156" s="1044" t="s">
        <v>63</v>
      </c>
      <c r="T156" s="1044" t="str">
        <f t="shared" ref="T156" si="3">T120</f>
        <v>Хлеб ржано-пшеничный</v>
      </c>
      <c r="U156" s="1044">
        <f>U122</f>
        <v>0</v>
      </c>
      <c r="V156" s="1044">
        <f t="shared" ref="V156" si="4">V120</f>
        <v>0</v>
      </c>
      <c r="W156" s="1041" t="str">
        <f>X120</f>
        <v>Ватрушка с повидлом</v>
      </c>
      <c r="X156" s="1096"/>
      <c r="Y156" s="1044" t="str">
        <f t="shared" ref="Y156:Z156" si="5">Y120</f>
        <v>Молоко кип.</v>
      </c>
      <c r="Z156" s="1044">
        <f t="shared" si="5"/>
        <v>0</v>
      </c>
      <c r="AA156" s="24"/>
      <c r="AB156" s="1019"/>
    </row>
    <row r="157" spans="1:28">
      <c r="A157" s="1002"/>
      <c r="B157" s="5"/>
      <c r="C157" s="5" t="s">
        <v>10</v>
      </c>
      <c r="D157" s="1237"/>
      <c r="E157" s="1039"/>
      <c r="F157" s="1042"/>
      <c r="G157" s="1039"/>
      <c r="H157" s="1042"/>
      <c r="I157" s="1039"/>
      <c r="J157" s="1071"/>
      <c r="K157" s="1071"/>
      <c r="L157" s="1071"/>
      <c r="M157" s="1042"/>
      <c r="N157" s="1042"/>
      <c r="O157" s="1039"/>
      <c r="P157" s="1042"/>
      <c r="Q157" s="1039"/>
      <c r="R157" s="1130"/>
      <c r="S157" s="1045"/>
      <c r="T157" s="1045"/>
      <c r="U157" s="1045"/>
      <c r="V157" s="1045"/>
      <c r="W157" s="1097"/>
      <c r="X157" s="1098"/>
      <c r="Y157" s="1045"/>
      <c r="Z157" s="1045"/>
      <c r="AA157" s="19" t="s">
        <v>6</v>
      </c>
      <c r="AB157" s="1001" t="s">
        <v>4</v>
      </c>
    </row>
    <row r="158" spans="1:28" ht="15" customHeight="1">
      <c r="A158" s="1006"/>
      <c r="B158" s="4"/>
      <c r="C158" s="4"/>
      <c r="D158" s="1238"/>
      <c r="E158" s="1040"/>
      <c r="F158" s="1043"/>
      <c r="G158" s="1040"/>
      <c r="H158" s="1043"/>
      <c r="I158" s="1040"/>
      <c r="J158" s="1072"/>
      <c r="K158" s="1072"/>
      <c r="L158" s="1072"/>
      <c r="M158" s="1043"/>
      <c r="N158" s="1043"/>
      <c r="O158" s="1040"/>
      <c r="P158" s="1043"/>
      <c r="Q158" s="1040"/>
      <c r="R158" s="1217"/>
      <c r="S158" s="1046"/>
      <c r="T158" s="1046"/>
      <c r="U158" s="1046"/>
      <c r="V158" s="1046"/>
      <c r="W158" s="1099"/>
      <c r="X158" s="1100"/>
      <c r="Y158" s="1046"/>
      <c r="Z158" s="1046"/>
      <c r="AA158" s="4" t="s">
        <v>7</v>
      </c>
      <c r="AB158" s="1000" t="s">
        <v>5</v>
      </c>
    </row>
    <row r="159" spans="1:28" ht="13.5" thickBot="1">
      <c r="A159" s="64">
        <v>1</v>
      </c>
      <c r="B159" s="1024">
        <v>2</v>
      </c>
      <c r="C159" s="72">
        <v>3</v>
      </c>
      <c r="D159" s="1024"/>
      <c r="E159" s="80">
        <v>4</v>
      </c>
      <c r="F159" s="86">
        <v>5</v>
      </c>
      <c r="G159" s="1009">
        <v>6</v>
      </c>
      <c r="H159" s="87">
        <v>7</v>
      </c>
      <c r="I159" s="80">
        <v>8</v>
      </c>
      <c r="J159" s="82">
        <v>9</v>
      </c>
      <c r="K159" s="95">
        <v>10</v>
      </c>
      <c r="L159" s="96">
        <v>11</v>
      </c>
      <c r="M159" s="81">
        <v>12</v>
      </c>
      <c r="N159" s="82">
        <v>13</v>
      </c>
      <c r="O159" s="93">
        <v>14</v>
      </c>
      <c r="P159" s="97">
        <v>15</v>
      </c>
      <c r="Q159" s="93">
        <v>16</v>
      </c>
      <c r="R159" s="80"/>
      <c r="S159" s="96">
        <v>17</v>
      </c>
      <c r="T159" s="98">
        <v>18</v>
      </c>
      <c r="U159" s="96"/>
      <c r="V159" s="80">
        <v>19</v>
      </c>
      <c r="W159" s="80"/>
      <c r="X159" s="96">
        <v>20</v>
      </c>
      <c r="Y159" s="81">
        <v>21</v>
      </c>
      <c r="Z159" s="96">
        <v>22</v>
      </c>
      <c r="AA159" s="35">
        <v>30</v>
      </c>
      <c r="AB159" s="1008">
        <v>31</v>
      </c>
    </row>
    <row r="160" spans="1:28" ht="15" customHeight="1" thickTop="1">
      <c r="A160" s="135"/>
      <c r="B160" s="13"/>
      <c r="C160" s="77" t="s">
        <v>72</v>
      </c>
      <c r="D160" s="297"/>
      <c r="E160" s="277"/>
      <c r="F160" s="109"/>
      <c r="G160" s="94"/>
      <c r="H160" s="109"/>
      <c r="I160" s="94"/>
      <c r="J160" s="667"/>
      <c r="K160" s="277"/>
      <c r="L160" s="94"/>
      <c r="M160" s="130">
        <v>83.2</v>
      </c>
      <c r="N160" s="411"/>
      <c r="O160" s="410"/>
      <c r="P160" s="109"/>
      <c r="Q160" s="94"/>
      <c r="R160" s="130">
        <v>127</v>
      </c>
      <c r="S160" s="94"/>
      <c r="T160" s="94"/>
      <c r="U160" s="94"/>
      <c r="V160" s="130"/>
      <c r="W160" s="130"/>
      <c r="X160" s="94"/>
      <c r="Y160" s="94"/>
      <c r="Z160" s="94"/>
      <c r="AA160" s="117"/>
      <c r="AB160" s="116"/>
    </row>
    <row r="161" spans="1:28" ht="16.5" thickBot="1">
      <c r="A161" s="346" t="str">
        <f>A62</f>
        <v>Картофель</v>
      </c>
      <c r="B161" s="347">
        <f>B62</f>
        <v>28</v>
      </c>
      <c r="C161" s="348" t="s">
        <v>73</v>
      </c>
      <c r="D161" s="387"/>
      <c r="E161" s="353"/>
      <c r="F161" s="338"/>
      <c r="G161" s="337"/>
      <c r="H161" s="338"/>
      <c r="I161" s="337"/>
      <c r="J161" s="668"/>
      <c r="K161" s="353"/>
      <c r="L161" s="337"/>
      <c r="M161" s="339">
        <f>M160*B124/1000</f>
        <v>8.32</v>
      </c>
      <c r="N161" s="361"/>
      <c r="O161" s="350"/>
      <c r="P161" s="338"/>
      <c r="Q161" s="337"/>
      <c r="R161" s="339">
        <f>R160*B124/1000</f>
        <v>12.7</v>
      </c>
      <c r="S161" s="337"/>
      <c r="T161" s="337"/>
      <c r="U161" s="353"/>
      <c r="V161" s="350"/>
      <c r="W161" s="350"/>
      <c r="X161" s="337"/>
      <c r="Y161" s="337"/>
      <c r="Z161" s="337"/>
      <c r="AA161" s="343">
        <f>ROUND(E161+G161+I161+K161+L161+M161+N161+O161+Q161+R161+S161+T161+U161+V161+X161+Y161+Z161,2)</f>
        <v>21.02</v>
      </c>
      <c r="AB161" s="344">
        <f>AA161*B161</f>
        <v>588.55999999999995</v>
      </c>
    </row>
    <row r="162" spans="1:28" ht="15" customHeight="1" thickTop="1">
      <c r="A162" s="133"/>
      <c r="B162" s="122"/>
      <c r="C162" s="77" t="s">
        <v>72</v>
      </c>
      <c r="D162" s="78"/>
      <c r="E162" s="268"/>
      <c r="F162" s="112"/>
      <c r="G162" s="106"/>
      <c r="H162" s="112"/>
      <c r="I162" s="106"/>
      <c r="J162" s="669"/>
      <c r="K162" s="268"/>
      <c r="L162" s="130">
        <v>38.799999999999997</v>
      </c>
      <c r="M162" s="106"/>
      <c r="N162" s="274"/>
      <c r="O162" s="499"/>
      <c r="P162" s="112"/>
      <c r="Q162" s="113"/>
      <c r="R162" s="113"/>
      <c r="S162" s="106"/>
      <c r="T162" s="106"/>
      <c r="U162" s="106"/>
      <c r="V162" s="127"/>
      <c r="W162" s="113"/>
      <c r="X162" s="129"/>
      <c r="Y162" s="106"/>
      <c r="Z162" s="106"/>
      <c r="AA162" s="213"/>
      <c r="AB162" s="123"/>
    </row>
    <row r="163" spans="1:28" ht="16.5" thickBot="1">
      <c r="A163" s="346" t="str">
        <f>A64</f>
        <v>Свекла ст.</v>
      </c>
      <c r="B163" s="347">
        <f>B64</f>
        <v>28</v>
      </c>
      <c r="C163" s="348" t="s">
        <v>73</v>
      </c>
      <c r="D163" s="387"/>
      <c r="E163" s="353"/>
      <c r="F163" s="338"/>
      <c r="G163" s="337"/>
      <c r="H163" s="338"/>
      <c r="I163" s="337"/>
      <c r="J163" s="668"/>
      <c r="K163" s="353"/>
      <c r="L163" s="339">
        <f>L162*B124/1000</f>
        <v>3.8799999999999994</v>
      </c>
      <c r="M163" s="337"/>
      <c r="N163" s="360"/>
      <c r="O163" s="341"/>
      <c r="P163" s="349"/>
      <c r="Q163" s="340"/>
      <c r="R163" s="340"/>
      <c r="S163" s="337"/>
      <c r="T163" s="337"/>
      <c r="U163" s="353"/>
      <c r="V163" s="341">
        <f>V162*V124/1000</f>
        <v>0</v>
      </c>
      <c r="W163" s="378"/>
      <c r="X163" s="350"/>
      <c r="Y163" s="337"/>
      <c r="Z163" s="337"/>
      <c r="AA163" s="343">
        <f>ROUND(E163+G163+I163+K163+L163+M163+N163+O163+Q163+S163+T163+U163+V163+X163+Y163+Z163,2)</f>
        <v>3.88</v>
      </c>
      <c r="AB163" s="344">
        <f>AA163*B163</f>
        <v>108.64</v>
      </c>
    </row>
    <row r="164" spans="1:28" ht="15" customHeight="1" thickTop="1">
      <c r="A164" s="133"/>
      <c r="B164" s="122"/>
      <c r="C164" s="77" t="s">
        <v>72</v>
      </c>
      <c r="D164" s="78"/>
      <c r="E164" s="268"/>
      <c r="F164" s="112"/>
      <c r="G164" s="106"/>
      <c r="H164" s="112"/>
      <c r="I164" s="106"/>
      <c r="J164" s="669"/>
      <c r="K164" s="268"/>
      <c r="L164" s="130"/>
      <c r="M164" s="130">
        <v>4.3</v>
      </c>
      <c r="N164" s="108"/>
      <c r="O164" s="129"/>
      <c r="P164" s="108">
        <f>9.6/80*P125</f>
        <v>9.6</v>
      </c>
      <c r="Q164" s="129">
        <f>P164/P125*Q125</f>
        <v>9.6</v>
      </c>
      <c r="R164" s="129"/>
      <c r="S164" s="106"/>
      <c r="T164" s="106"/>
      <c r="U164" s="106"/>
      <c r="V164" s="250"/>
      <c r="W164" s="113"/>
      <c r="X164" s="113"/>
      <c r="Y164" s="106"/>
      <c r="Z164" s="106"/>
      <c r="AA164" s="214"/>
      <c r="AB164" s="216"/>
    </row>
    <row r="165" spans="1:28" ht="16.5" thickBot="1">
      <c r="A165" s="346" t="str">
        <f>A66</f>
        <v>Лук</v>
      </c>
      <c r="B165" s="347">
        <f>B66</f>
        <v>37</v>
      </c>
      <c r="C165" s="348" t="s">
        <v>73</v>
      </c>
      <c r="D165" s="387"/>
      <c r="E165" s="353"/>
      <c r="F165" s="338"/>
      <c r="G165" s="337"/>
      <c r="H165" s="338"/>
      <c r="I165" s="337"/>
      <c r="J165" s="668"/>
      <c r="K165" s="353"/>
      <c r="L165" s="339">
        <f>L164*B124/1000</f>
        <v>0</v>
      </c>
      <c r="M165" s="339">
        <f>M164*B124/1000</f>
        <v>0.43</v>
      </c>
      <c r="N165" s="349"/>
      <c r="O165" s="341"/>
      <c r="P165" s="349">
        <f>P164*P124/1000</f>
        <v>0.96</v>
      </c>
      <c r="Q165" s="339">
        <f>P165</f>
        <v>0.96</v>
      </c>
      <c r="R165" s="340"/>
      <c r="S165" s="337"/>
      <c r="T165" s="337"/>
      <c r="U165" s="353"/>
      <c r="V165" s="350"/>
      <c r="W165" s="378"/>
      <c r="X165" s="341"/>
      <c r="Y165" s="337"/>
      <c r="Z165" s="337"/>
      <c r="AA165" s="343">
        <f>ROUND(E165+G165+I165+K165+L165+M165+O165+Q165+S165+T165+U165+V165+X165+Y165+Z165,2)</f>
        <v>1.39</v>
      </c>
      <c r="AB165" s="351">
        <f>AA165*B165</f>
        <v>51.43</v>
      </c>
    </row>
    <row r="166" spans="1:28" ht="15" customHeight="1" thickTop="1">
      <c r="A166" s="133"/>
      <c r="B166" s="122"/>
      <c r="C166" s="77" t="s">
        <v>72</v>
      </c>
      <c r="D166" s="78"/>
      <c r="E166" s="268"/>
      <c r="F166" s="112"/>
      <c r="G166" s="106"/>
      <c r="H166" s="112"/>
      <c r="I166" s="106"/>
      <c r="J166" s="669"/>
      <c r="K166" s="268"/>
      <c r="L166" s="127"/>
      <c r="M166" s="130">
        <v>9.6</v>
      </c>
      <c r="N166" s="274"/>
      <c r="O166" s="499"/>
      <c r="P166" s="177"/>
      <c r="Q166" s="129"/>
      <c r="R166" s="129"/>
      <c r="S166" s="106"/>
      <c r="T166" s="106"/>
      <c r="U166" s="106"/>
      <c r="V166" s="250"/>
      <c r="W166" s="127"/>
      <c r="X166" s="106"/>
      <c r="Y166" s="106"/>
      <c r="Z166" s="106"/>
      <c r="AA166" s="214"/>
      <c r="AB166" s="216"/>
    </row>
    <row r="167" spans="1:28" ht="16.5" thickBot="1">
      <c r="A167" s="346" t="str">
        <f>A68</f>
        <v>Морковь</v>
      </c>
      <c r="B167" s="347">
        <f>B68</f>
        <v>38</v>
      </c>
      <c r="C167" s="348" t="s">
        <v>73</v>
      </c>
      <c r="D167" s="385"/>
      <c r="E167" s="353"/>
      <c r="F167" s="338"/>
      <c r="G167" s="337"/>
      <c r="H167" s="338"/>
      <c r="I167" s="337"/>
      <c r="J167" s="668"/>
      <c r="K167" s="353"/>
      <c r="L167" s="339">
        <f>L166*B124/1000</f>
        <v>0</v>
      </c>
      <c r="M167" s="339">
        <f>M166*B124/1000</f>
        <v>0.96</v>
      </c>
      <c r="N167" s="360"/>
      <c r="O167" s="341"/>
      <c r="P167" s="349"/>
      <c r="Q167" s="340"/>
      <c r="R167" s="340"/>
      <c r="S167" s="337"/>
      <c r="T167" s="337"/>
      <c r="U167" s="353"/>
      <c r="V167" s="350"/>
      <c r="W167" s="341"/>
      <c r="X167" s="337"/>
      <c r="Y167" s="337"/>
      <c r="Z167" s="337"/>
      <c r="AA167" s="343">
        <f>ROUND(E167+G167+I167+K167+L167+M167+N167+O167+Q167+S167+T167+U167+V167+X167+Y167+Z167,2)</f>
        <v>0.96</v>
      </c>
      <c r="AB167" s="344">
        <f>AA167*B167</f>
        <v>36.479999999999997</v>
      </c>
    </row>
    <row r="168" spans="1:28" ht="15" customHeight="1" thickTop="1">
      <c r="A168" s="133"/>
      <c r="B168" s="122"/>
      <c r="C168" s="77" t="s">
        <v>72</v>
      </c>
      <c r="D168" s="502"/>
      <c r="E168" s="129"/>
      <c r="F168" s="112"/>
      <c r="G168" s="106"/>
      <c r="H168" s="112"/>
      <c r="I168" s="106"/>
      <c r="J168" s="563"/>
      <c r="K168" s="268"/>
      <c r="L168" s="184"/>
      <c r="M168" s="128"/>
      <c r="N168" s="405"/>
      <c r="O168" s="268"/>
      <c r="P168" s="177"/>
      <c r="Q168" s="251"/>
      <c r="R168" s="251"/>
      <c r="S168" s="106"/>
      <c r="T168" s="106"/>
      <c r="U168" s="127"/>
      <c r="V168" s="128"/>
      <c r="W168" s="128"/>
      <c r="X168" s="130">
        <v>0.31</v>
      </c>
      <c r="Y168" s="106"/>
      <c r="Z168" s="106"/>
      <c r="AA168" s="214"/>
      <c r="AB168" s="216"/>
    </row>
    <row r="169" spans="1:28" ht="16.5" thickBot="1">
      <c r="A169" s="346" t="str">
        <f>A70</f>
        <v>Дрожжи  сух</v>
      </c>
      <c r="B169" s="347">
        <f>B70</f>
        <v>950</v>
      </c>
      <c r="C169" s="348" t="s">
        <v>73</v>
      </c>
      <c r="D169" s="363"/>
      <c r="E169" s="350"/>
      <c r="F169" s="338"/>
      <c r="G169" s="337"/>
      <c r="H169" s="338"/>
      <c r="I169" s="337"/>
      <c r="J169" s="668"/>
      <c r="K169" s="353"/>
      <c r="L169" s="341"/>
      <c r="M169" s="342"/>
      <c r="N169" s="360"/>
      <c r="O169" s="353"/>
      <c r="P169" s="349"/>
      <c r="Q169" s="358"/>
      <c r="R169" s="358"/>
      <c r="S169" s="337"/>
      <c r="T169" s="337"/>
      <c r="U169" s="339"/>
      <c r="V169" s="340"/>
      <c r="W169" s="340"/>
      <c r="X169" s="357">
        <f>X168*B124/1000</f>
        <v>3.1E-2</v>
      </c>
      <c r="Y169" s="337"/>
      <c r="Z169" s="337"/>
      <c r="AA169" s="1030">
        <f>ROUND(E169+G169+I169+K169+L169+M169+N169+O169+Q169+S169+T169+U169+V169+X169+Y169+Z169,3)</f>
        <v>3.1E-2</v>
      </c>
      <c r="AB169" s="344">
        <f>AA169*B169</f>
        <v>29.45</v>
      </c>
    </row>
    <row r="170" spans="1:28" ht="15" customHeight="1" thickTop="1">
      <c r="A170" s="133"/>
      <c r="B170" s="122"/>
      <c r="C170" s="77" t="s">
        <v>72</v>
      </c>
      <c r="D170" s="489">
        <v>20</v>
      </c>
      <c r="E170" s="184">
        <f>D170/D125*E125</f>
        <v>20</v>
      </c>
      <c r="F170" s="112"/>
      <c r="G170" s="106"/>
      <c r="H170" s="112"/>
      <c r="I170" s="106"/>
      <c r="J170" s="457">
        <f>J171/B124*1000</f>
        <v>20</v>
      </c>
      <c r="K170" s="184"/>
      <c r="L170" s="106"/>
      <c r="M170" s="106"/>
      <c r="N170" s="270"/>
      <c r="O170" s="268"/>
      <c r="P170" s="177"/>
      <c r="Q170" s="252"/>
      <c r="R170" s="252"/>
      <c r="S170" s="106"/>
      <c r="T170" s="106"/>
      <c r="U170" s="106"/>
      <c r="V170" s="251"/>
      <c r="W170" s="113"/>
      <c r="X170" s="129"/>
      <c r="Y170" s="106"/>
      <c r="Z170" s="106"/>
      <c r="AA170" s="214"/>
      <c r="AB170" s="123"/>
    </row>
    <row r="171" spans="1:28" ht="16.5" thickBot="1">
      <c r="A171" s="346" t="str">
        <f>A72</f>
        <v>Батон витам.</v>
      </c>
      <c r="B171" s="347">
        <f>B72</f>
        <v>81.099999999999994</v>
      </c>
      <c r="C171" s="348" t="s">
        <v>73</v>
      </c>
      <c r="D171" s="490">
        <f>D170*F124/1000</f>
        <v>2</v>
      </c>
      <c r="E171" s="341">
        <f>D171</f>
        <v>2</v>
      </c>
      <c r="F171" s="338"/>
      <c r="G171" s="337"/>
      <c r="H171" s="338"/>
      <c r="I171" s="337"/>
      <c r="J171" s="589">
        <v>2</v>
      </c>
      <c r="K171" s="354"/>
      <c r="L171" s="337"/>
      <c r="M171" s="337"/>
      <c r="N171" s="352"/>
      <c r="O171" s="353"/>
      <c r="P171" s="349"/>
      <c r="Q171" s="340"/>
      <c r="R171" s="340"/>
      <c r="S171" s="337"/>
      <c r="T171" s="337"/>
      <c r="U171" s="337"/>
      <c r="V171" s="358"/>
      <c r="W171" s="378"/>
      <c r="X171" s="341"/>
      <c r="Y171" s="337"/>
      <c r="Z171" s="337"/>
      <c r="AA171" s="343">
        <f>ROUND(E171+G171+I171+J171+K171+L171+M171+N171+O171+Q171+S171+T171+U171+V171+X171+Y171+Z171,2)</f>
        <v>4</v>
      </c>
      <c r="AB171" s="344">
        <f>AA171*B171</f>
        <v>324.39999999999998</v>
      </c>
    </row>
    <row r="172" spans="1:28" ht="15" customHeight="1" thickTop="1">
      <c r="A172" s="133"/>
      <c r="B172" s="122"/>
      <c r="C172" s="77" t="s">
        <v>72</v>
      </c>
      <c r="D172" s="287"/>
      <c r="E172" s="268"/>
      <c r="F172" s="112"/>
      <c r="G172" s="106"/>
      <c r="H172" s="112"/>
      <c r="I172" s="106"/>
      <c r="J172" s="669"/>
      <c r="K172" s="268"/>
      <c r="L172" s="106"/>
      <c r="M172" s="106"/>
      <c r="N172" s="270"/>
      <c r="O172" s="268"/>
      <c r="P172" s="177"/>
      <c r="Q172" s="251"/>
      <c r="R172" s="251"/>
      <c r="S172" s="106"/>
      <c r="T172" s="128">
        <f>T173/T124*1000</f>
        <v>30</v>
      </c>
      <c r="U172" s="128"/>
      <c r="V172" s="251"/>
      <c r="W172" s="251"/>
      <c r="X172" s="106"/>
      <c r="Y172" s="106"/>
      <c r="Z172" s="106"/>
      <c r="AA172" s="214"/>
      <c r="AB172" s="216"/>
    </row>
    <row r="173" spans="1:28" ht="16.5" thickBot="1">
      <c r="A173" s="346" t="str">
        <f>A74</f>
        <v>Хлеб рж-пшен.</v>
      </c>
      <c r="B173" s="347">
        <f>B74</f>
        <v>55</v>
      </c>
      <c r="C173" s="348" t="s">
        <v>73</v>
      </c>
      <c r="D173" s="385"/>
      <c r="E173" s="353"/>
      <c r="F173" s="338"/>
      <c r="G173" s="337"/>
      <c r="H173" s="338"/>
      <c r="I173" s="337"/>
      <c r="J173" s="668"/>
      <c r="K173" s="353"/>
      <c r="L173" s="337"/>
      <c r="M173" s="337"/>
      <c r="N173" s="352"/>
      <c r="O173" s="353"/>
      <c r="P173" s="349"/>
      <c r="Q173" s="358"/>
      <c r="R173" s="358"/>
      <c r="S173" s="337"/>
      <c r="T173" s="342">
        <v>3</v>
      </c>
      <c r="U173" s="342"/>
      <c r="V173" s="358"/>
      <c r="W173" s="358"/>
      <c r="X173" s="337"/>
      <c r="Y173" s="337"/>
      <c r="Z173" s="337"/>
      <c r="AA173" s="343">
        <f>ROUND(E173+G173+I173+K173+L173+M173+N173+O173+Q173+S173+T173+U173+V173+X173+Y173+Z173,2)</f>
        <v>3</v>
      </c>
      <c r="AB173" s="344">
        <f>AA173*B173</f>
        <v>165</v>
      </c>
    </row>
    <row r="174" spans="1:28" ht="15" customHeight="1" thickTop="1">
      <c r="A174" s="133"/>
      <c r="B174" s="122"/>
      <c r="C174" s="77" t="s">
        <v>72</v>
      </c>
      <c r="D174" s="287"/>
      <c r="E174" s="268"/>
      <c r="F174" s="112"/>
      <c r="G174" s="106"/>
      <c r="H174" s="112"/>
      <c r="I174" s="106"/>
      <c r="J174" s="669"/>
      <c r="K174" s="268"/>
      <c r="L174" s="106"/>
      <c r="M174" s="106"/>
      <c r="N174" s="274"/>
      <c r="O174" s="268"/>
      <c r="P174" s="177"/>
      <c r="Q174" s="251"/>
      <c r="R174" s="251"/>
      <c r="S174" s="106"/>
      <c r="T174" s="106"/>
      <c r="U174" s="106"/>
      <c r="V174" s="251"/>
      <c r="W174" s="251"/>
      <c r="X174" s="106"/>
      <c r="Y174" s="106"/>
      <c r="Z174" s="128"/>
      <c r="AA174" s="214"/>
      <c r="AB174" s="123"/>
    </row>
    <row r="175" spans="1:28" ht="16.5" thickBot="1">
      <c r="A175" s="346" t="str">
        <f>A76</f>
        <v xml:space="preserve">Хлеб  йод. пш. </v>
      </c>
      <c r="B175" s="347">
        <f>B76</f>
        <v>61.3</v>
      </c>
      <c r="C175" s="348" t="s">
        <v>73</v>
      </c>
      <c r="D175" s="385"/>
      <c r="E175" s="353"/>
      <c r="F175" s="338"/>
      <c r="G175" s="337"/>
      <c r="H175" s="338"/>
      <c r="I175" s="337"/>
      <c r="J175" s="668"/>
      <c r="K175" s="353"/>
      <c r="L175" s="337"/>
      <c r="M175" s="337"/>
      <c r="N175" s="360"/>
      <c r="O175" s="353"/>
      <c r="P175" s="349"/>
      <c r="Q175" s="358"/>
      <c r="R175" s="358"/>
      <c r="S175" s="337"/>
      <c r="T175" s="337"/>
      <c r="U175" s="337"/>
      <c r="V175" s="358"/>
      <c r="W175" s="358"/>
      <c r="X175" s="337"/>
      <c r="Y175" s="337"/>
      <c r="Z175" s="342"/>
      <c r="AA175" s="343">
        <f>ROUND(E175+G175+I175+K175+L175+M175+N175+O175+Q175+S175+T175+U175+V175+X175+Y175+Z175,2)</f>
        <v>0</v>
      </c>
      <c r="AB175" s="344">
        <f>AA175*B175</f>
        <v>0</v>
      </c>
    </row>
    <row r="176" spans="1:28" ht="15" customHeight="1" thickTop="1">
      <c r="A176" s="133"/>
      <c r="B176" s="122"/>
      <c r="C176" s="77" t="s">
        <v>72</v>
      </c>
      <c r="D176" s="287"/>
      <c r="E176" s="268"/>
      <c r="F176" s="112"/>
      <c r="G176" s="106"/>
      <c r="H176" s="112"/>
      <c r="I176" s="106"/>
      <c r="J176" s="669"/>
      <c r="K176" s="268"/>
      <c r="L176" s="106"/>
      <c r="M176" s="130"/>
      <c r="N176" s="270"/>
      <c r="O176" s="268"/>
      <c r="P176" s="177"/>
      <c r="Q176" s="251"/>
      <c r="R176" s="251"/>
      <c r="S176" s="106"/>
      <c r="T176" s="106"/>
      <c r="U176" s="106"/>
      <c r="V176" s="130"/>
      <c r="W176" s="251"/>
      <c r="X176" s="106"/>
      <c r="Y176" s="127"/>
      <c r="Z176" s="106"/>
      <c r="AA176" s="213"/>
      <c r="AB176" s="123"/>
    </row>
    <row r="177" spans="1:28" ht="16.5" customHeight="1" thickBot="1">
      <c r="A177" s="346" t="str">
        <f>A78</f>
        <v>Огурцы конс.</v>
      </c>
      <c r="B177" s="347">
        <f>B78</f>
        <v>85</v>
      </c>
      <c r="C177" s="348" t="s">
        <v>73</v>
      </c>
      <c r="D177" s="385"/>
      <c r="E177" s="353"/>
      <c r="F177" s="338"/>
      <c r="G177" s="337"/>
      <c r="H177" s="338"/>
      <c r="I177" s="337"/>
      <c r="J177" s="668"/>
      <c r="K177" s="353"/>
      <c r="L177" s="337"/>
      <c r="M177" s="339">
        <f>M176*B124/1000</f>
        <v>0</v>
      </c>
      <c r="N177" s="675"/>
      <c r="O177" s="353"/>
      <c r="P177" s="349"/>
      <c r="Q177" s="358"/>
      <c r="R177" s="358"/>
      <c r="S177" s="337"/>
      <c r="T177" s="337"/>
      <c r="U177" s="337"/>
      <c r="V177" s="350"/>
      <c r="W177" s="358"/>
      <c r="X177" s="337"/>
      <c r="Y177" s="339">
        <f>Y176*B124/1000</f>
        <v>0</v>
      </c>
      <c r="Z177" s="381"/>
      <c r="AA177" s="343">
        <f>ROUND(E177+G177+I177+K177+L177+M177+N177+O177+Q177+S177+T177+U177+V177+X177+Y177+Z177,3)</f>
        <v>0</v>
      </c>
      <c r="AB177" s="344">
        <f>AA177*B177</f>
        <v>0</v>
      </c>
    </row>
    <row r="178" spans="1:28" ht="15" customHeight="1" thickTop="1">
      <c r="A178" s="133"/>
      <c r="B178" s="122"/>
      <c r="C178" s="77" t="s">
        <v>72</v>
      </c>
      <c r="D178" s="287"/>
      <c r="E178" s="268"/>
      <c r="F178" s="112"/>
      <c r="G178" s="106"/>
      <c r="H178" s="112">
        <v>0.3</v>
      </c>
      <c r="I178" s="128">
        <f>H178/H125*I125</f>
        <v>0.3</v>
      </c>
      <c r="J178" s="669"/>
      <c r="K178" s="268"/>
      <c r="L178" s="106"/>
      <c r="M178" s="106"/>
      <c r="N178" s="270"/>
      <c r="O178" s="268"/>
      <c r="P178" s="177"/>
      <c r="Q178" s="251"/>
      <c r="R178" s="251"/>
      <c r="S178" s="106"/>
      <c r="T178" s="106"/>
      <c r="U178" s="106"/>
      <c r="V178" s="251"/>
      <c r="W178" s="251"/>
      <c r="X178" s="106"/>
      <c r="Y178" s="106"/>
      <c r="Z178" s="106"/>
      <c r="AA178" s="214"/>
      <c r="AB178" s="123"/>
    </row>
    <row r="179" spans="1:28" ht="16.5" thickBot="1">
      <c r="A179" s="346" t="str">
        <f>A80</f>
        <v>Чай</v>
      </c>
      <c r="B179" s="347">
        <f>B80</f>
        <v>500</v>
      </c>
      <c r="C179" s="348" t="s">
        <v>73</v>
      </c>
      <c r="D179" s="385"/>
      <c r="E179" s="353"/>
      <c r="F179" s="338"/>
      <c r="G179" s="337"/>
      <c r="H179" s="338">
        <f>H178*F124/1000</f>
        <v>0.03</v>
      </c>
      <c r="I179" s="357">
        <f>H179</f>
        <v>0.03</v>
      </c>
      <c r="J179" s="668"/>
      <c r="K179" s="353"/>
      <c r="L179" s="337"/>
      <c r="M179" s="337"/>
      <c r="N179" s="352"/>
      <c r="O179" s="353"/>
      <c r="P179" s="349"/>
      <c r="Q179" s="358"/>
      <c r="R179" s="358"/>
      <c r="S179" s="337"/>
      <c r="T179" s="337"/>
      <c r="U179" s="337"/>
      <c r="V179" s="358"/>
      <c r="W179" s="358"/>
      <c r="X179" s="358"/>
      <c r="Y179" s="357">
        <f>Y178*B124/1000</f>
        <v>0</v>
      </c>
      <c r="Z179" s="337"/>
      <c r="AA179" s="356">
        <f>ROUND(E179+G179+I179+K179+L179+M179+N179+O179+Q179+S179+T179+U179+V179+X179+Y179+Z179,3)</f>
        <v>0.03</v>
      </c>
      <c r="AB179" s="344">
        <f>AA179*B179</f>
        <v>15</v>
      </c>
    </row>
    <row r="180" spans="1:28" ht="15" customHeight="1" thickTop="1">
      <c r="A180" s="133"/>
      <c r="B180" s="122"/>
      <c r="C180" s="77" t="s">
        <v>72</v>
      </c>
      <c r="D180" s="108"/>
      <c r="E180" s="129"/>
      <c r="F180" s="112"/>
      <c r="G180" s="106"/>
      <c r="H180" s="108"/>
      <c r="I180" s="113"/>
      <c r="J180" s="669"/>
      <c r="K180" s="268"/>
      <c r="L180" s="114"/>
      <c r="M180" s="106"/>
      <c r="N180" s="270"/>
      <c r="O180" s="268"/>
      <c r="P180" s="177"/>
      <c r="Q180" s="251"/>
      <c r="R180" s="130"/>
      <c r="S180" s="106"/>
      <c r="T180" s="106"/>
      <c r="U180" s="106"/>
      <c r="V180" s="251"/>
      <c r="W180" s="251"/>
      <c r="X180" s="256"/>
      <c r="Y180" s="251"/>
      <c r="Z180" s="106"/>
      <c r="AA180" s="214"/>
      <c r="AB180" s="123"/>
    </row>
    <row r="181" spans="1:28" ht="16.5" thickBot="1">
      <c r="A181" s="346">
        <f>A82</f>
        <v>0</v>
      </c>
      <c r="B181" s="347">
        <f>B82</f>
        <v>0</v>
      </c>
      <c r="C181" s="348" t="s">
        <v>73</v>
      </c>
      <c r="D181" s="349"/>
      <c r="E181" s="341"/>
      <c r="F181" s="338"/>
      <c r="G181" s="337"/>
      <c r="H181" s="349"/>
      <c r="I181" s="350"/>
      <c r="J181" s="668"/>
      <c r="K181" s="353"/>
      <c r="L181" s="342"/>
      <c r="M181" s="337"/>
      <c r="N181" s="352"/>
      <c r="O181" s="353"/>
      <c r="P181" s="349"/>
      <c r="Q181" s="358"/>
      <c r="R181" s="339">
        <f>R180*B124/1000</f>
        <v>0</v>
      </c>
      <c r="S181" s="337"/>
      <c r="T181" s="337"/>
      <c r="U181" s="337"/>
      <c r="V181" s="358"/>
      <c r="W181" s="358"/>
      <c r="X181" s="340"/>
      <c r="Y181" s="358"/>
      <c r="Z181" s="337"/>
      <c r="AA181" s="343">
        <f>ROUND(E181+G181+I181+K181+L181+M181+N181+O181+Q181+R181+S181+T181+U181+V181+X181+Y181+Z181,2)</f>
        <v>0</v>
      </c>
      <c r="AB181" s="344">
        <f>AA181*B181</f>
        <v>0</v>
      </c>
    </row>
    <row r="182" spans="1:28" ht="15.75" customHeight="1" thickTop="1">
      <c r="A182" s="133"/>
      <c r="B182" s="122"/>
      <c r="C182" s="77" t="s">
        <v>72</v>
      </c>
      <c r="D182" s="287"/>
      <c r="E182" s="268"/>
      <c r="F182" s="112"/>
      <c r="G182" s="106"/>
      <c r="H182" s="112"/>
      <c r="I182" s="106"/>
      <c r="J182" s="669"/>
      <c r="K182" s="268"/>
      <c r="L182" s="130"/>
      <c r="M182" s="130"/>
      <c r="N182" s="274"/>
      <c r="O182" s="272"/>
      <c r="P182" s="108"/>
      <c r="Q182" s="129">
        <f>P182/P125*Q125</f>
        <v>0</v>
      </c>
      <c r="R182" s="129"/>
      <c r="S182" s="106"/>
      <c r="T182" s="106"/>
      <c r="U182" s="106"/>
      <c r="V182" s="250"/>
      <c r="W182" s="250"/>
      <c r="X182" s="106"/>
      <c r="Y182" s="106"/>
      <c r="Z182" s="106"/>
      <c r="AA182" s="214"/>
      <c r="AB182" s="123"/>
    </row>
    <row r="183" spans="1:28" ht="16.5" thickBot="1">
      <c r="A183" s="346" t="str">
        <f>A84</f>
        <v>Томатная паста</v>
      </c>
      <c r="B183" s="347">
        <f>B84</f>
        <v>370</v>
      </c>
      <c r="C183" s="348" t="s">
        <v>73</v>
      </c>
      <c r="D183" s="385"/>
      <c r="E183" s="353"/>
      <c r="F183" s="338"/>
      <c r="G183" s="337"/>
      <c r="H183" s="338"/>
      <c r="I183" s="337"/>
      <c r="J183" s="668"/>
      <c r="K183" s="353"/>
      <c r="L183" s="339">
        <f>L182*B124/1000</f>
        <v>0</v>
      </c>
      <c r="M183" s="339">
        <f>M182*B124/1000</f>
        <v>0</v>
      </c>
      <c r="N183" s="360"/>
      <c r="O183" s="341"/>
      <c r="P183" s="349">
        <f>P182*P124/1000</f>
        <v>0</v>
      </c>
      <c r="Q183" s="339">
        <f>P183</f>
        <v>0</v>
      </c>
      <c r="R183" s="340"/>
      <c r="S183" s="337"/>
      <c r="T183" s="337"/>
      <c r="U183" s="353"/>
      <c r="V183" s="350"/>
      <c r="W183" s="350"/>
      <c r="X183" s="337"/>
      <c r="Y183" s="337"/>
      <c r="Z183" s="337"/>
      <c r="AA183" s="343">
        <f>ROUND(E183+G183+I183+K183+L183+M183+N183+O183+Q183+S183+T183+U183+V183+X183+Y183+Z183,2)</f>
        <v>0</v>
      </c>
      <c r="AB183" s="344">
        <f>AA183*B183</f>
        <v>0</v>
      </c>
    </row>
    <row r="184" spans="1:28" ht="15" customHeight="1" thickTop="1">
      <c r="A184" s="133"/>
      <c r="B184" s="122"/>
      <c r="C184" s="77" t="s">
        <v>72</v>
      </c>
      <c r="D184" s="287"/>
      <c r="E184" s="271"/>
      <c r="F184" s="112"/>
      <c r="G184" s="105"/>
      <c r="H184" s="112"/>
      <c r="I184" s="105"/>
      <c r="J184" s="669"/>
      <c r="K184" s="271"/>
      <c r="L184" s="127"/>
      <c r="M184" s="105"/>
      <c r="N184" s="273"/>
      <c r="O184" s="271"/>
      <c r="P184" s="112"/>
      <c r="Q184" s="105"/>
      <c r="R184" s="105"/>
      <c r="S184" s="127">
        <v>0.15</v>
      </c>
      <c r="T184" s="105"/>
      <c r="U184" s="105"/>
      <c r="V184" s="127"/>
      <c r="W184" s="127"/>
      <c r="X184" s="105"/>
      <c r="Y184" s="105"/>
      <c r="Z184" s="105"/>
      <c r="AA184" s="214"/>
      <c r="AB184" s="123"/>
    </row>
    <row r="185" spans="1:28" ht="16.5" thickBot="1">
      <c r="A185" s="346" t="str">
        <f>A86</f>
        <v>Лимонная к-та</v>
      </c>
      <c r="B185" s="347">
        <f>B86</f>
        <v>900</v>
      </c>
      <c r="C185" s="348" t="s">
        <v>73</v>
      </c>
      <c r="D185" s="385"/>
      <c r="E185" s="353"/>
      <c r="F185" s="338"/>
      <c r="G185" s="337"/>
      <c r="H185" s="338"/>
      <c r="I185" s="337"/>
      <c r="J185" s="668"/>
      <c r="K185" s="353"/>
      <c r="L185" s="357">
        <f>L184*B124/1000</f>
        <v>0</v>
      </c>
      <c r="M185" s="337"/>
      <c r="N185" s="360"/>
      <c r="O185" s="353"/>
      <c r="P185" s="338"/>
      <c r="Q185" s="337"/>
      <c r="R185" s="337"/>
      <c r="S185" s="357">
        <f>S184*B124/1000</f>
        <v>1.4999999999999999E-2</v>
      </c>
      <c r="T185" s="337"/>
      <c r="U185" s="337"/>
      <c r="V185" s="355"/>
      <c r="W185" s="357"/>
      <c r="X185" s="337"/>
      <c r="Y185" s="337"/>
      <c r="Z185" s="337"/>
      <c r="AA185" s="356">
        <f>ROUND(E185+G185+I185+K185+L185+M185+N185+O185+Q185+S185+T185+U185+V185+X185+Y185+Z185,3)</f>
        <v>1.4999999999999999E-2</v>
      </c>
      <c r="AB185" s="344">
        <f>AA185*B185</f>
        <v>13.5</v>
      </c>
    </row>
    <row r="186" spans="1:28" ht="15" customHeight="1" thickTop="1">
      <c r="A186" s="133"/>
      <c r="B186" s="122"/>
      <c r="C186" s="77" t="s">
        <v>72</v>
      </c>
      <c r="D186" s="497"/>
      <c r="E186" s="129">
        <f>D186/D125*E125</f>
        <v>0</v>
      </c>
      <c r="F186" s="112"/>
      <c r="G186" s="106"/>
      <c r="H186" s="112"/>
      <c r="I186" s="106"/>
      <c r="J186" s="669"/>
      <c r="K186" s="268"/>
      <c r="L186" s="184"/>
      <c r="M186" s="106"/>
      <c r="N186" s="269"/>
      <c r="O186" s="268"/>
      <c r="P186" s="112"/>
      <c r="Q186" s="106"/>
      <c r="R186" s="106"/>
      <c r="S186" s="106"/>
      <c r="T186" s="106"/>
      <c r="U186" s="106"/>
      <c r="V186" s="106"/>
      <c r="W186" s="106"/>
      <c r="X186" s="130">
        <v>16.5</v>
      </c>
      <c r="Y186" s="106"/>
      <c r="Z186" s="106"/>
      <c r="AA186" s="214"/>
      <c r="AB186" s="123"/>
    </row>
    <row r="187" spans="1:28" ht="16.5" thickBot="1">
      <c r="A187" s="346" t="str">
        <f>A88</f>
        <v>Повидло</v>
      </c>
      <c r="B187" s="347">
        <f>B88</f>
        <v>180</v>
      </c>
      <c r="C187" s="348" t="s">
        <v>73</v>
      </c>
      <c r="D187" s="363">
        <f>D186*F124/1000</f>
        <v>0</v>
      </c>
      <c r="E187" s="341">
        <f>D187</f>
        <v>0</v>
      </c>
      <c r="F187" s="338"/>
      <c r="G187" s="337"/>
      <c r="H187" s="338"/>
      <c r="I187" s="337"/>
      <c r="J187" s="668"/>
      <c r="K187" s="353"/>
      <c r="L187" s="341"/>
      <c r="M187" s="337"/>
      <c r="N187" s="352"/>
      <c r="O187" s="353"/>
      <c r="P187" s="338"/>
      <c r="Q187" s="337"/>
      <c r="R187" s="337"/>
      <c r="S187" s="337"/>
      <c r="T187" s="337"/>
      <c r="U187" s="337"/>
      <c r="V187" s="337"/>
      <c r="W187" s="337"/>
      <c r="X187" s="339">
        <f>X186*B124/1000</f>
        <v>1.65</v>
      </c>
      <c r="Y187" s="337"/>
      <c r="Z187" s="337"/>
      <c r="AA187" s="343">
        <f>ROUND(E187+G187+I187+K187+L187+M187+N187+O187+Q187+S187+T187+U187+V187+X187+Y187+Z187,2)</f>
        <v>1.65</v>
      </c>
      <c r="AB187" s="344">
        <f>AA187*B187</f>
        <v>297</v>
      </c>
    </row>
    <row r="188" spans="1:28" ht="15" customHeight="1" thickTop="1">
      <c r="A188" s="133"/>
      <c r="B188" s="122"/>
      <c r="C188" s="77" t="s">
        <v>72</v>
      </c>
      <c r="D188" s="287"/>
      <c r="E188" s="268"/>
      <c r="F188" s="112">
        <v>0.3</v>
      </c>
      <c r="G188" s="114">
        <f>F188/F125*G125</f>
        <v>0.3</v>
      </c>
      <c r="H188" s="112"/>
      <c r="I188" s="106"/>
      <c r="J188" s="669"/>
      <c r="K188" s="268"/>
      <c r="L188" s="130">
        <v>0.1</v>
      </c>
      <c r="M188" s="127">
        <v>0.4</v>
      </c>
      <c r="N188" s="270"/>
      <c r="O188" s="268"/>
      <c r="P188" s="112">
        <v>0.3</v>
      </c>
      <c r="Q188" s="114">
        <f>P188/P125*Q125</f>
        <v>0.3</v>
      </c>
      <c r="R188" s="130">
        <v>1</v>
      </c>
      <c r="S188" s="106"/>
      <c r="T188" s="106"/>
      <c r="U188" s="106"/>
      <c r="V188" s="127"/>
      <c r="W188" s="106"/>
      <c r="X188" s="127">
        <v>0.5</v>
      </c>
      <c r="Y188" s="106"/>
      <c r="Z188" s="106"/>
      <c r="AA188" s="214"/>
      <c r="AB188" s="123"/>
    </row>
    <row r="189" spans="1:28" ht="16.5" thickBot="1">
      <c r="A189" s="346" t="str">
        <f>A90</f>
        <v>Соль иодиров.</v>
      </c>
      <c r="B189" s="347">
        <f>B90</f>
        <v>28</v>
      </c>
      <c r="C189" s="348" t="s">
        <v>73</v>
      </c>
      <c r="D189" s="385"/>
      <c r="E189" s="353"/>
      <c r="F189" s="338">
        <f>F188*F124/1000</f>
        <v>0.03</v>
      </c>
      <c r="G189" s="339">
        <f>ROUND(F189,2)</f>
        <v>0.03</v>
      </c>
      <c r="H189" s="338"/>
      <c r="I189" s="337"/>
      <c r="J189" s="668"/>
      <c r="K189" s="353"/>
      <c r="L189" s="339">
        <f>L188*B124/1000</f>
        <v>0.01</v>
      </c>
      <c r="M189" s="342">
        <f>M188*B124/1000</f>
        <v>0.04</v>
      </c>
      <c r="N189" s="361"/>
      <c r="O189" s="341"/>
      <c r="P189" s="349">
        <f>P188*P124/1000</f>
        <v>0.03</v>
      </c>
      <c r="Q189" s="339">
        <f>ROUND(P189,2)</f>
        <v>0.03</v>
      </c>
      <c r="R189" s="339">
        <f>R188*B124/1000</f>
        <v>0.1</v>
      </c>
      <c r="S189" s="337"/>
      <c r="T189" s="337"/>
      <c r="U189" s="614"/>
      <c r="V189" s="678">
        <f>V188*V124/1000</f>
        <v>0</v>
      </c>
      <c r="W189" s="337"/>
      <c r="X189" s="339">
        <f>ROUND(X188*B124/1000,2)</f>
        <v>0.05</v>
      </c>
      <c r="Y189" s="337"/>
      <c r="Z189" s="337"/>
      <c r="AA189" s="343">
        <f>ROUND(E189+G189+I189+K189+L189+M189+N189+O189+Q189+R189+S189+T189+U189+V189+X189+Y189+Z189,2)</f>
        <v>0.26</v>
      </c>
      <c r="AB189" s="344">
        <f>AA189*B189</f>
        <v>7.28</v>
      </c>
    </row>
    <row r="190" spans="1:28" ht="15.75" thickTop="1">
      <c r="A190" s="133"/>
      <c r="B190" s="122"/>
      <c r="C190" s="77" t="s">
        <v>72</v>
      </c>
      <c r="D190" s="287"/>
      <c r="E190" s="268"/>
      <c r="F190" s="112"/>
      <c r="G190" s="106"/>
      <c r="H190" s="112"/>
      <c r="I190" s="106"/>
      <c r="J190" s="669"/>
      <c r="K190" s="268"/>
      <c r="L190" s="184"/>
      <c r="M190" s="106"/>
      <c r="N190" s="274"/>
      <c r="O190" s="268"/>
      <c r="P190" s="112"/>
      <c r="Q190" s="113"/>
      <c r="R190" s="113"/>
      <c r="S190" s="106"/>
      <c r="T190" s="106"/>
      <c r="U190" s="106"/>
      <c r="V190" s="127"/>
      <c r="W190" s="127"/>
      <c r="X190" s="130"/>
      <c r="Y190" s="106"/>
      <c r="Z190" s="106"/>
      <c r="AA190" s="215"/>
      <c r="AB190" s="123"/>
    </row>
    <row r="191" spans="1:28" ht="16.5" thickBot="1">
      <c r="A191" s="346">
        <f>A92</f>
        <v>0</v>
      </c>
      <c r="B191" s="347">
        <f>B92</f>
        <v>0</v>
      </c>
      <c r="C191" s="348" t="s">
        <v>73</v>
      </c>
      <c r="D191" s="385"/>
      <c r="E191" s="353"/>
      <c r="F191" s="338"/>
      <c r="G191" s="337"/>
      <c r="H191" s="338"/>
      <c r="I191" s="337"/>
      <c r="J191" s="668"/>
      <c r="K191" s="353"/>
      <c r="L191" s="341"/>
      <c r="M191" s="337"/>
      <c r="N191" s="360"/>
      <c r="O191" s="353"/>
      <c r="P191" s="349"/>
      <c r="Q191" s="340"/>
      <c r="R191" s="340"/>
      <c r="S191" s="337"/>
      <c r="T191" s="337"/>
      <c r="U191" s="353"/>
      <c r="V191" s="350"/>
      <c r="W191" s="341"/>
      <c r="X191" s="339"/>
      <c r="Y191" s="337"/>
      <c r="Z191" s="337"/>
      <c r="AA191" s="343">
        <f>ROUND(E191+G191+I191+K191+L191+M191+N191+O191+Q191+S191+T191+V191+X191+Y191+Z191,2)</f>
        <v>0</v>
      </c>
      <c r="AB191" s="344">
        <f>AA191*B191</f>
        <v>0</v>
      </c>
    </row>
    <row r="192" spans="1:28" ht="15.75" thickTop="1">
      <c r="A192" s="133"/>
      <c r="B192" s="122"/>
      <c r="C192" s="77" t="s">
        <v>72</v>
      </c>
      <c r="D192" s="503"/>
      <c r="E192" s="487"/>
      <c r="F192" s="392"/>
      <c r="G192" s="417"/>
      <c r="H192" s="392"/>
      <c r="I192" s="393"/>
      <c r="J192" s="674"/>
      <c r="K192" s="487"/>
      <c r="L192" s="393"/>
      <c r="M192" s="393"/>
      <c r="N192" s="676"/>
      <c r="O192" s="487"/>
      <c r="P192" s="392"/>
      <c r="Q192" s="393"/>
      <c r="R192" s="393"/>
      <c r="S192" s="393"/>
      <c r="T192" s="393"/>
      <c r="U192" s="393"/>
      <c r="V192" s="393"/>
      <c r="W192" s="393"/>
      <c r="X192" s="393"/>
      <c r="Y192" s="393"/>
      <c r="Z192" s="393"/>
      <c r="AA192" s="418"/>
      <c r="AB192" s="123"/>
    </row>
    <row r="193" spans="1:28" ht="16.5" thickBot="1">
      <c r="A193" s="346"/>
      <c r="B193" s="347"/>
      <c r="C193" s="348" t="s">
        <v>73</v>
      </c>
      <c r="D193" s="385"/>
      <c r="E193" s="353"/>
      <c r="F193" s="363"/>
      <c r="G193" s="340"/>
      <c r="H193" s="338"/>
      <c r="I193" s="337"/>
      <c r="J193" s="668"/>
      <c r="K193" s="353"/>
      <c r="L193" s="337"/>
      <c r="M193" s="337"/>
      <c r="N193" s="352"/>
      <c r="O193" s="353"/>
      <c r="P193" s="338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  <c r="AA193" s="343">
        <f>ROUND(E193+G193+I193+K193+L193+M193+N193+O193+Q193+S193+T193+V193+X193+Y193+Z193,2)</f>
        <v>0</v>
      </c>
      <c r="AB193" s="344">
        <f>AA193*B193</f>
        <v>0</v>
      </c>
    </row>
    <row r="194" spans="1:28" ht="15.75">
      <c r="A194" s="136"/>
      <c r="B194" s="6"/>
      <c r="C194" s="75"/>
      <c r="D194" s="298"/>
      <c r="E194" s="271"/>
      <c r="F194" s="112"/>
      <c r="G194" s="105"/>
      <c r="H194" s="112"/>
      <c r="I194" s="105"/>
      <c r="J194" s="112"/>
      <c r="K194" s="105"/>
      <c r="L194" s="105"/>
      <c r="M194" s="105"/>
      <c r="N194" s="105"/>
      <c r="O194" s="105"/>
      <c r="P194" s="112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25"/>
      <c r="AB194" s="126">
        <f>AB127+AB129+AB131+AB133+AB135+AB137+AB139+AB141+AB143+AB145+AB147+AB149+AB151+AB161+AB163+AB165+AB167+AB169+AB171+AB173+AB175+AB177+AB179+AB181+AB183+AB185+AB187+AB189+AB191+AB193</f>
        <v>10038.718500000001</v>
      </c>
    </row>
    <row r="196" spans="1:28">
      <c r="A196" s="43" t="s">
        <v>315</v>
      </c>
      <c r="S196" s="43" t="s">
        <v>30</v>
      </c>
      <c r="AB196" s="118">
        <f>K112</f>
        <v>11000</v>
      </c>
    </row>
    <row r="197" spans="1:28">
      <c r="A197" s="43" t="s">
        <v>50</v>
      </c>
      <c r="S197" s="43" t="s">
        <v>31</v>
      </c>
    </row>
    <row r="198" spans="1:28">
      <c r="A198" s="43" t="s">
        <v>320</v>
      </c>
      <c r="S198" s="43" t="s">
        <v>314</v>
      </c>
    </row>
    <row r="199" spans="1:28">
      <c r="A199" s="43" t="s">
        <v>37</v>
      </c>
      <c r="S199" s="43" t="s">
        <v>31</v>
      </c>
    </row>
    <row r="202" spans="1:28">
      <c r="Y202" t="s">
        <v>91</v>
      </c>
    </row>
  </sheetData>
  <mergeCells count="160">
    <mergeCell ref="O3:AB3"/>
    <mergeCell ref="A6:C6"/>
    <mergeCell ref="E6:G6"/>
    <mergeCell ref="H6:J6"/>
    <mergeCell ref="K6:M6"/>
    <mergeCell ref="AA6:AB6"/>
    <mergeCell ref="R7:X8"/>
    <mergeCell ref="Y7:Z7"/>
    <mergeCell ref="AA7:AB7"/>
    <mergeCell ref="B8:C8"/>
    <mergeCell ref="E8:G8"/>
    <mergeCell ref="H8:J8"/>
    <mergeCell ref="K8:M8"/>
    <mergeCell ref="N8:O8"/>
    <mergeCell ref="P8:Q8"/>
    <mergeCell ref="A7:C7"/>
    <mergeCell ref="E7:G7"/>
    <mergeCell ref="H7:J7"/>
    <mergeCell ref="K7:M7"/>
    <mergeCell ref="N7:O7"/>
    <mergeCell ref="P7:Q7"/>
    <mergeCell ref="P11:Q11"/>
    <mergeCell ref="R11:X12"/>
    <mergeCell ref="K13:M13"/>
    <mergeCell ref="N13:O13"/>
    <mergeCell ref="N15:O15"/>
    <mergeCell ref="AA18:AB18"/>
    <mergeCell ref="B9:C9"/>
    <mergeCell ref="E9:G9"/>
    <mergeCell ref="H9:J9"/>
    <mergeCell ref="K9:M9"/>
    <mergeCell ref="P9:Q9"/>
    <mergeCell ref="B10:C10"/>
    <mergeCell ref="K10:M10"/>
    <mergeCell ref="E19:K20"/>
    <mergeCell ref="M19:T20"/>
    <mergeCell ref="V19:Z20"/>
    <mergeCell ref="AA19:AB19"/>
    <mergeCell ref="AA20:AB20"/>
    <mergeCell ref="D21:D23"/>
    <mergeCell ref="E21:E23"/>
    <mergeCell ref="F21:F23"/>
    <mergeCell ref="G21:G23"/>
    <mergeCell ref="H21:I23"/>
    <mergeCell ref="T21:T23"/>
    <mergeCell ref="V21:V23"/>
    <mergeCell ref="X21:X23"/>
    <mergeCell ref="Y21:Y23"/>
    <mergeCell ref="Z21:Z23"/>
    <mergeCell ref="AA54:AB54"/>
    <mergeCell ref="M21:M23"/>
    <mergeCell ref="O21:O23"/>
    <mergeCell ref="P21:P23"/>
    <mergeCell ref="Q21:Q23"/>
    <mergeCell ref="R21:R23"/>
    <mergeCell ref="S21:S23"/>
    <mergeCell ref="E55:K56"/>
    <mergeCell ref="M55:T56"/>
    <mergeCell ref="V55:Z56"/>
    <mergeCell ref="AA55:AB55"/>
    <mergeCell ref="AA56:AB56"/>
    <mergeCell ref="A105:C105"/>
    <mergeCell ref="E105:G105"/>
    <mergeCell ref="H105:J105"/>
    <mergeCell ref="K105:M105"/>
    <mergeCell ref="AA105:AB105"/>
    <mergeCell ref="R57:R59"/>
    <mergeCell ref="S57:S59"/>
    <mergeCell ref="T57:T59"/>
    <mergeCell ref="U57:U59"/>
    <mergeCell ref="V57:V59"/>
    <mergeCell ref="W57:X59"/>
    <mergeCell ref="K57:K59"/>
    <mergeCell ref="L57:L59"/>
    <mergeCell ref="M57:M59"/>
    <mergeCell ref="N57:N59"/>
    <mergeCell ref="O57:O59"/>
    <mergeCell ref="P57:Q59"/>
    <mergeCell ref="R106:X107"/>
    <mergeCell ref="Y106:Z106"/>
    <mergeCell ref="AA106:AB106"/>
    <mergeCell ref="B107:C107"/>
    <mergeCell ref="E107:G107"/>
    <mergeCell ref="H107:J107"/>
    <mergeCell ref="K107:M107"/>
    <mergeCell ref="N107:O107"/>
    <mergeCell ref="P107:Q107"/>
    <mergeCell ref="A106:C106"/>
    <mergeCell ref="E106:G106"/>
    <mergeCell ref="H106:J106"/>
    <mergeCell ref="K106:M106"/>
    <mergeCell ref="N106:O106"/>
    <mergeCell ref="P106:Q106"/>
    <mergeCell ref="D57:D59"/>
    <mergeCell ref="E57:E59"/>
    <mergeCell ref="F57:G59"/>
    <mergeCell ref="H57:I59"/>
    <mergeCell ref="J57:J59"/>
    <mergeCell ref="Y57:Y59"/>
    <mergeCell ref="Z57:Z59"/>
    <mergeCell ref="O102:AB102"/>
    <mergeCell ref="P110:Q110"/>
    <mergeCell ref="R110:X111"/>
    <mergeCell ref="K112:M112"/>
    <mergeCell ref="N112:O112"/>
    <mergeCell ref="N114:O114"/>
    <mergeCell ref="AA117:AB117"/>
    <mergeCell ref="B108:C108"/>
    <mergeCell ref="E108:G108"/>
    <mergeCell ref="H108:J108"/>
    <mergeCell ref="K108:M108"/>
    <mergeCell ref="P108:Q108"/>
    <mergeCell ref="B109:C109"/>
    <mergeCell ref="K109:M109"/>
    <mergeCell ref="E118:K119"/>
    <mergeCell ref="M118:T119"/>
    <mergeCell ref="V118:Z119"/>
    <mergeCell ref="AA118:AB118"/>
    <mergeCell ref="AA119:AB119"/>
    <mergeCell ref="D120:D122"/>
    <mergeCell ref="E120:E122"/>
    <mergeCell ref="F120:F122"/>
    <mergeCell ref="G120:G122"/>
    <mergeCell ref="H120:I122"/>
    <mergeCell ref="T120:T122"/>
    <mergeCell ref="V120:V122"/>
    <mergeCell ref="X120:X122"/>
    <mergeCell ref="Y120:Y122"/>
    <mergeCell ref="Z120:Z122"/>
    <mergeCell ref="AA153:AB153"/>
    <mergeCell ref="M120:M122"/>
    <mergeCell ref="O120:O122"/>
    <mergeCell ref="P120:P122"/>
    <mergeCell ref="Q120:Q122"/>
    <mergeCell ref="R120:R122"/>
    <mergeCell ref="S120:S122"/>
    <mergeCell ref="E154:K155"/>
    <mergeCell ref="M154:T155"/>
    <mergeCell ref="V154:Z155"/>
    <mergeCell ref="AA154:AB154"/>
    <mergeCell ref="AA155:AB155"/>
    <mergeCell ref="D156:D158"/>
    <mergeCell ref="E156:E158"/>
    <mergeCell ref="F156:G158"/>
    <mergeCell ref="H156:I158"/>
    <mergeCell ref="J156:J158"/>
    <mergeCell ref="Y156:Y158"/>
    <mergeCell ref="Z156:Z158"/>
    <mergeCell ref="R156:R158"/>
    <mergeCell ref="S156:S158"/>
    <mergeCell ref="T156:T158"/>
    <mergeCell ref="U156:U158"/>
    <mergeCell ref="V156:V158"/>
    <mergeCell ref="W156:X158"/>
    <mergeCell ref="K156:K158"/>
    <mergeCell ref="L156:L158"/>
    <mergeCell ref="M156:M158"/>
    <mergeCell ref="N156:N158"/>
    <mergeCell ref="O156:O158"/>
    <mergeCell ref="P156:Q158"/>
  </mergeCells>
  <printOptions gridLinesSet="0"/>
  <pageMargins left="0.78740157480314965" right="0.39370078740157483" top="0.78740157480314965" bottom="0.39370078740157483" header="0" footer="0"/>
  <pageSetup paperSize="9" scale="70" fitToWidth="0" fitToHeight="0" pageOrder="overThenDown" orientation="landscape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  </vt:lpstr>
      <vt:lpstr> День 3 </vt:lpstr>
      <vt:lpstr> День 4 </vt:lpstr>
      <vt:lpstr>День 5 </vt:lpstr>
      <vt:lpstr>2 н День 1</vt:lpstr>
      <vt:lpstr>2 н День 2</vt:lpstr>
      <vt:lpstr>2 н День 3</vt:lpstr>
      <vt:lpstr>2 н День 4</vt:lpstr>
      <vt:lpstr>2 н День 5 (10,31)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2019-12-12T12:50:26Z</cp:lastPrinted>
  <dcterms:created xsi:type="dcterms:W3CDTF">1998-12-08T10:37:05Z</dcterms:created>
  <dcterms:modified xsi:type="dcterms:W3CDTF">2024-01-09T12:40:07Z</dcterms:modified>
</cp:coreProperties>
</file>